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_GL553VD\Documents\"/>
    </mc:Choice>
  </mc:AlternateContent>
  <bookViews>
    <workbookView xWindow="0" yWindow="0" windowWidth="23040" windowHeight="8904"/>
  </bookViews>
  <sheets>
    <sheet name="I-bea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D85" i="1"/>
  <c r="D87" i="1" s="1"/>
  <c r="D84" i="1"/>
  <c r="D81" i="1"/>
  <c r="D80" i="1"/>
  <c r="D86" i="1" s="1"/>
  <c r="D88" i="1" s="1"/>
  <c r="D59" i="1"/>
  <c r="D57" i="1"/>
  <c r="D56" i="1"/>
  <c r="D58" i="1" s="1"/>
  <c r="D60" i="1" s="1"/>
  <c r="D62" i="1" s="1"/>
  <c r="D63" i="1" s="1"/>
  <c r="D64" i="1" s="1"/>
  <c r="D51" i="1"/>
  <c r="D49" i="1"/>
  <c r="D38" i="1"/>
  <c r="D35" i="1"/>
  <c r="D34" i="1"/>
  <c r="G38" i="1" s="1"/>
  <c r="G24" i="1"/>
  <c r="G23" i="1"/>
  <c r="D23" i="1"/>
  <c r="D22" i="1"/>
  <c r="G21" i="1"/>
  <c r="G26" i="1" s="1"/>
  <c r="D21" i="1"/>
  <c r="D26" i="1" s="1"/>
  <c r="D11" i="1"/>
  <c r="D37" i="1" s="1"/>
  <c r="D39" i="1" s="1"/>
  <c r="G10" i="1"/>
  <c r="D10" i="1"/>
  <c r="G9" i="1"/>
  <c r="D9" i="1"/>
  <c r="D70" i="1" s="1"/>
  <c r="D72" i="1" s="1"/>
  <c r="D73" i="1" s="1"/>
  <c r="D75" i="1" s="1"/>
  <c r="G8" i="1"/>
  <c r="G6" i="1"/>
  <c r="D31" i="1" s="1"/>
  <c r="G5" i="1"/>
  <c r="G4" i="1"/>
  <c r="D91" i="1" l="1"/>
  <c r="D89" i="1"/>
  <c r="D92" i="1" s="1"/>
  <c r="D93" i="1" s="1"/>
  <c r="D95" i="1" s="1"/>
  <c r="D32" i="1"/>
  <c r="G35" i="1"/>
  <c r="G34" i="1"/>
  <c r="D25" i="1"/>
  <c r="G25" i="1"/>
  <c r="D54" i="1"/>
  <c r="D97" i="1"/>
  <c r="D98" i="1" s="1"/>
  <c r="D99" i="1" s="1"/>
  <c r="D101" i="1" s="1"/>
  <c r="G36" i="1"/>
  <c r="D67" i="1"/>
  <c r="D69" i="1" s="1"/>
  <c r="G37" i="1"/>
  <c r="D48" i="1"/>
  <c r="D50" i="1" s="1"/>
  <c r="D52" i="1" s="1"/>
  <c r="D102" i="1" l="1"/>
  <c r="B102" i="1"/>
  <c r="D42" i="1"/>
  <c r="D44" i="1" s="1"/>
  <c r="D45" i="1" s="1"/>
  <c r="D46" i="1" s="1"/>
  <c r="D76" i="1"/>
  <c r="D77" i="1" s="1"/>
  <c r="D78" i="1" s="1"/>
  <c r="B76" i="1"/>
</calcChain>
</file>

<file path=xl/sharedStrings.xml><?xml version="1.0" encoding="utf-8"?>
<sst xmlns="http://schemas.openxmlformats.org/spreadsheetml/2006/main" count="187" uniqueCount="111">
  <si>
    <t>Dimensions</t>
  </si>
  <si>
    <t>Beam</t>
  </si>
  <si>
    <t>WB1200X500X18X32</t>
  </si>
  <si>
    <t>b</t>
  </si>
  <si>
    <t>mm</t>
  </si>
  <si>
    <t>Ix</t>
  </si>
  <si>
    <t>mm4</t>
  </si>
  <si>
    <t>h</t>
  </si>
  <si>
    <t>Sx</t>
  </si>
  <si>
    <t>mm3</t>
  </si>
  <si>
    <t>tw</t>
  </si>
  <si>
    <t>Zx</t>
  </si>
  <si>
    <t>tf</t>
  </si>
  <si>
    <t>rx</t>
  </si>
  <si>
    <t>r (fillet)</t>
  </si>
  <si>
    <t>Iy</t>
  </si>
  <si>
    <t>A</t>
  </si>
  <si>
    <t>mm2</t>
  </si>
  <si>
    <t>Sy</t>
  </si>
  <si>
    <t>J</t>
  </si>
  <si>
    <t>Zy</t>
  </si>
  <si>
    <t>Cw</t>
  </si>
  <si>
    <t>mm6</t>
  </si>
  <si>
    <t>ry</t>
  </si>
  <si>
    <t>Load</t>
  </si>
  <si>
    <t>span (L)</t>
  </si>
  <si>
    <t>m</t>
  </si>
  <si>
    <t>Mu</t>
  </si>
  <si>
    <t>kN.m</t>
  </si>
  <si>
    <t>Vu</t>
  </si>
  <si>
    <t>kN</t>
  </si>
  <si>
    <t>Pu</t>
  </si>
  <si>
    <t>Material</t>
  </si>
  <si>
    <t>Fy</t>
  </si>
  <si>
    <t>MPa</t>
  </si>
  <si>
    <t>E</t>
  </si>
  <si>
    <t>Fu</t>
  </si>
  <si>
    <t>G</t>
  </si>
  <si>
    <t>Ductility (Seismic)</t>
  </si>
  <si>
    <t>bf/2/tf</t>
  </si>
  <si>
    <t>h/tw</t>
  </si>
  <si>
    <t>λhd</t>
  </si>
  <si>
    <t>Ca</t>
  </si>
  <si>
    <t>λmd</t>
  </si>
  <si>
    <t>Ductility?</t>
  </si>
  <si>
    <t>Compact?</t>
  </si>
  <si>
    <t>Flexural Limit State</t>
  </si>
  <si>
    <t>Yield</t>
  </si>
  <si>
    <t>YES</t>
  </si>
  <si>
    <t>Lateral-Torsional Buckling</t>
  </si>
  <si>
    <t>Flexure --&gt; Yielding</t>
  </si>
  <si>
    <t>Mp</t>
  </si>
  <si>
    <t>Mn</t>
  </si>
  <si>
    <t>Flexure --&gt; Lateral-Torsional Buckling</t>
  </si>
  <si>
    <t>Lb</t>
  </si>
  <si>
    <t>Lb ≤ Lp?</t>
  </si>
  <si>
    <t>Lp</t>
  </si>
  <si>
    <t>Mn (NO LTB)</t>
  </si>
  <si>
    <t>c (I-beam)</t>
  </si>
  <si>
    <t>Lb ≤ Lr?</t>
  </si>
  <si>
    <t>rts</t>
  </si>
  <si>
    <t>Fcr</t>
  </si>
  <si>
    <t>ho</t>
  </si>
  <si>
    <t>Mn (LTB)</t>
  </si>
  <si>
    <t>Lr</t>
  </si>
  <si>
    <t>Cb</t>
  </si>
  <si>
    <t>Flexural Capacity</t>
  </si>
  <si>
    <t>φb</t>
  </si>
  <si>
    <t>φb*Mn</t>
  </si>
  <si>
    <t>Stress Ratio</t>
  </si>
  <si>
    <t>Mu  ≤ φb*Mn?</t>
  </si>
  <si>
    <t>Stability Bracing (Seismic)</t>
  </si>
  <si>
    <t>Lb/ry</t>
  </si>
  <si>
    <t>0.086*E/Fy</t>
  </si>
  <si>
    <t>Lb/ry ≤ 0.086*E/Fy?</t>
  </si>
  <si>
    <t>Shear</t>
  </si>
  <si>
    <t>kv</t>
  </si>
  <si>
    <t>1.10√(kv*E/Fy)</t>
  </si>
  <si>
    <t>1.37√(kv*E/Fy)</t>
  </si>
  <si>
    <t>Cv</t>
  </si>
  <si>
    <t>Aw</t>
  </si>
  <si>
    <t>Vn</t>
  </si>
  <si>
    <t>φv (not I-rolled shape)</t>
  </si>
  <si>
    <t>φv*Vn</t>
  </si>
  <si>
    <t>Vu ≤ φv*Vn?</t>
  </si>
  <si>
    <t>Tensile Strength</t>
  </si>
  <si>
    <t>Yielding - Gross Section</t>
  </si>
  <si>
    <t>Pn</t>
  </si>
  <si>
    <t>φt</t>
  </si>
  <si>
    <t>φt*Pn</t>
  </si>
  <si>
    <t>Fracture - Net Section</t>
  </si>
  <si>
    <t>An</t>
  </si>
  <si>
    <t>U</t>
  </si>
  <si>
    <t>Ae</t>
  </si>
  <si>
    <t>Pu ≤ φt*Pn?</t>
  </si>
  <si>
    <t>Compressive Strength</t>
  </si>
  <si>
    <t>Lbx</t>
  </si>
  <si>
    <t>Lby</t>
  </si>
  <si>
    <t>Kx (DIRECT ANALYSIS METHOD)</t>
  </si>
  <si>
    <t>Ky (DIRECT ANALYSIS METHOD)</t>
  </si>
  <si>
    <t>λx</t>
  </si>
  <si>
    <t>λy</t>
  </si>
  <si>
    <t>λ</t>
  </si>
  <si>
    <t>Flexural Buckling</t>
  </si>
  <si>
    <t>Fe</t>
  </si>
  <si>
    <t>4.71√(E/Fy)</t>
  </si>
  <si>
    <t>λ ≤ 4.71√(E/Fy)?</t>
  </si>
  <si>
    <t>φc</t>
  </si>
  <si>
    <t>φc*Pn</t>
  </si>
  <si>
    <t>Flexural-Torsional Buckling</t>
  </si>
  <si>
    <t>Kz (DIRECT ANALYSIS METHOD)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</si>
</sst>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02"/>
  <sheetViews>
    <sheetView tabSelected="1" zoomScale="85" zoomScaleNormal="85" workbookViewId="0">
      <selection activeCell="J3" sqref="J3"/>
    </sheetView>
  </sheetViews>
  <sheetFormatPr defaultRowHeight="14.4" x14ac:dyDescent="0.3"/>
  <cols>
    <col min="2" max="2" width="31.6640625" bestFit="1" customWidth="1"/>
    <col min="3" max="3" width="27" bestFit="1" customWidth="1"/>
    <col min="4" max="4" width="18.6640625" bestFit="1" customWidth="1"/>
    <col min="6" max="6" width="11.33203125" bestFit="1" customWidth="1"/>
    <col min="7" max="7" width="18.6640625" bestFit="1" customWidth="1"/>
  </cols>
  <sheetData>
    <row r="3" spans="2:8" x14ac:dyDescent="0.3">
      <c r="B3" s="1" t="s">
        <v>0</v>
      </c>
      <c r="C3" s="1" t="s">
        <v>1</v>
      </c>
      <c r="D3" s="1" t="s">
        <v>2</v>
      </c>
      <c r="E3" s="1"/>
      <c r="F3" s="1"/>
      <c r="G3" s="1"/>
      <c r="H3" s="1"/>
    </row>
    <row r="4" spans="2:8" x14ac:dyDescent="0.3">
      <c r="B4" s="1"/>
      <c r="C4" s="1" t="s">
        <v>3</v>
      </c>
      <c r="D4" s="1">
        <v>500</v>
      </c>
      <c r="E4" s="1" t="s">
        <v>4</v>
      </c>
      <c r="F4" s="1" t="s">
        <v>5</v>
      </c>
      <c r="G4" s="2">
        <f>1272695.5*10^4</f>
        <v>12726955000</v>
      </c>
      <c r="H4" s="1" t="s">
        <v>6</v>
      </c>
    </row>
    <row r="5" spans="2:8" x14ac:dyDescent="0.3">
      <c r="B5" s="1"/>
      <c r="C5" s="1" t="s">
        <v>7</v>
      </c>
      <c r="D5" s="1">
        <v>1184</v>
      </c>
      <c r="E5" s="1" t="s">
        <v>4</v>
      </c>
      <c r="F5" s="1" t="s">
        <v>8</v>
      </c>
      <c r="G5" s="2">
        <f>21498.2*10^3</f>
        <v>21498200</v>
      </c>
      <c r="H5" s="1" t="s">
        <v>9</v>
      </c>
    </row>
    <row r="6" spans="2:8" x14ac:dyDescent="0.3">
      <c r="B6" s="1"/>
      <c r="C6" s="1" t="s">
        <v>10</v>
      </c>
      <c r="D6" s="1">
        <v>18</v>
      </c>
      <c r="E6" s="1" t="s">
        <v>4</v>
      </c>
      <c r="F6" s="1" t="s">
        <v>11</v>
      </c>
      <c r="G6" s="2">
        <f>24076.8*10^3</f>
        <v>24076800</v>
      </c>
      <c r="H6" s="1" t="s">
        <v>9</v>
      </c>
    </row>
    <row r="7" spans="2:8" x14ac:dyDescent="0.3">
      <c r="B7" s="1"/>
      <c r="C7" s="1" t="s">
        <v>12</v>
      </c>
      <c r="D7" s="1">
        <v>32</v>
      </c>
      <c r="E7" s="1" t="s">
        <v>4</v>
      </c>
      <c r="F7" s="1" t="s">
        <v>13</v>
      </c>
      <c r="G7" s="1">
        <v>494</v>
      </c>
      <c r="H7" s="1" t="s">
        <v>4</v>
      </c>
    </row>
    <row r="8" spans="2:8" x14ac:dyDescent="0.3">
      <c r="B8" s="1"/>
      <c r="C8" s="1" t="s">
        <v>14</v>
      </c>
      <c r="D8" s="1">
        <v>0</v>
      </c>
      <c r="E8" s="1" t="s">
        <v>4</v>
      </c>
      <c r="F8" s="1" t="s">
        <v>15</v>
      </c>
      <c r="G8" s="1">
        <f>66721.1*10^4</f>
        <v>667211000</v>
      </c>
      <c r="H8" s="1" t="s">
        <v>6</v>
      </c>
    </row>
    <row r="9" spans="2:8" x14ac:dyDescent="0.3">
      <c r="B9" s="1"/>
      <c r="C9" s="1" t="s">
        <v>16</v>
      </c>
      <c r="D9" s="1">
        <f>521.6*10^2</f>
        <v>52160</v>
      </c>
      <c r="E9" s="1" t="s">
        <v>17</v>
      </c>
      <c r="F9" s="1" t="s">
        <v>18</v>
      </c>
      <c r="G9" s="1">
        <f>2668.8*10^3</f>
        <v>2668800</v>
      </c>
      <c r="H9" s="1" t="s">
        <v>9</v>
      </c>
    </row>
    <row r="10" spans="2:8" x14ac:dyDescent="0.3">
      <c r="B10" s="1"/>
      <c r="C10" s="1" t="s">
        <v>19</v>
      </c>
      <c r="D10" s="3">
        <f>1316.2*10^4</f>
        <v>13162000</v>
      </c>
      <c r="E10" s="1" t="s">
        <v>6</v>
      </c>
      <c r="F10" s="1" t="s">
        <v>20</v>
      </c>
      <c r="G10" s="1">
        <f>4090.7*10^3</f>
        <v>4090700</v>
      </c>
      <c r="H10" s="1" t="s">
        <v>9</v>
      </c>
    </row>
    <row r="11" spans="2:8" x14ac:dyDescent="0.3">
      <c r="B11" s="1"/>
      <c r="C11" s="1" t="s">
        <v>21</v>
      </c>
      <c r="D11" s="3">
        <f>221184000*10^6</f>
        <v>221184000000000</v>
      </c>
      <c r="E11" s="1" t="s">
        <v>22</v>
      </c>
      <c r="F11" s="1" t="s">
        <v>23</v>
      </c>
      <c r="G11" s="1">
        <v>113.1</v>
      </c>
      <c r="H11" s="1" t="s">
        <v>4</v>
      </c>
    </row>
    <row r="12" spans="2:8" x14ac:dyDescent="0.3">
      <c r="D12" s="4"/>
    </row>
    <row r="13" spans="2:8" x14ac:dyDescent="0.3">
      <c r="B13" s="1" t="s">
        <v>24</v>
      </c>
      <c r="C13" s="1" t="s">
        <v>25</v>
      </c>
      <c r="D13" s="3">
        <v>20</v>
      </c>
      <c r="E13" s="1" t="s">
        <v>26</v>
      </c>
    </row>
    <row r="14" spans="2:8" x14ac:dyDescent="0.3">
      <c r="B14" s="1"/>
      <c r="C14" s="1" t="s">
        <v>27</v>
      </c>
      <c r="D14" s="3">
        <v>4851.29</v>
      </c>
      <c r="E14" s="1" t="s">
        <v>28</v>
      </c>
    </row>
    <row r="15" spans="2:8" x14ac:dyDescent="0.3">
      <c r="B15" s="1"/>
      <c r="C15" s="1" t="s">
        <v>29</v>
      </c>
      <c r="D15" s="3">
        <v>1439.2911999999999</v>
      </c>
      <c r="E15" s="1" t="s">
        <v>30</v>
      </c>
    </row>
    <row r="16" spans="2:8" x14ac:dyDescent="0.3">
      <c r="B16" s="1"/>
      <c r="C16" s="1" t="s">
        <v>31</v>
      </c>
      <c r="D16" s="3">
        <v>205.87649999999999</v>
      </c>
      <c r="E16" s="1" t="s">
        <v>30</v>
      </c>
    </row>
    <row r="18" spans="2:8" x14ac:dyDescent="0.3">
      <c r="B18" s="1" t="s">
        <v>32</v>
      </c>
      <c r="C18" s="1" t="s">
        <v>33</v>
      </c>
      <c r="D18" s="1">
        <v>250</v>
      </c>
      <c r="E18" s="1" t="s">
        <v>34</v>
      </c>
      <c r="F18" s="1" t="s">
        <v>35</v>
      </c>
      <c r="G18" s="1">
        <v>200000</v>
      </c>
      <c r="H18" s="1" t="s">
        <v>34</v>
      </c>
    </row>
    <row r="19" spans="2:8" x14ac:dyDescent="0.3">
      <c r="B19" s="1"/>
      <c r="C19" s="1" t="s">
        <v>36</v>
      </c>
      <c r="D19" s="1">
        <v>410</v>
      </c>
      <c r="E19" s="1" t="s">
        <v>34</v>
      </c>
      <c r="F19" s="1" t="s">
        <v>37</v>
      </c>
      <c r="G19" s="1">
        <v>77200</v>
      </c>
      <c r="H19" s="1" t="s">
        <v>34</v>
      </c>
    </row>
    <row r="21" spans="2:8" x14ac:dyDescent="0.3">
      <c r="B21" s="1" t="s">
        <v>38</v>
      </c>
      <c r="C21" s="1" t="s">
        <v>39</v>
      </c>
      <c r="D21" s="1">
        <f>D4/2/D7</f>
        <v>7.8125</v>
      </c>
      <c r="E21" s="1"/>
      <c r="F21" s="1" t="s">
        <v>40</v>
      </c>
      <c r="G21" s="1">
        <f>(D5-2*D7)/D6</f>
        <v>62.222222222222221</v>
      </c>
    </row>
    <row r="22" spans="2:8" x14ac:dyDescent="0.3">
      <c r="B22" s="1"/>
      <c r="C22" s="1" t="s">
        <v>41</v>
      </c>
      <c r="D22" s="1">
        <f>0.3*SQRT($G$18/$D$18)</f>
        <v>8.4852813742385695</v>
      </c>
      <c r="E22" s="1"/>
      <c r="F22" s="1" t="s">
        <v>42</v>
      </c>
      <c r="G22" s="1">
        <v>0.1</v>
      </c>
    </row>
    <row r="23" spans="2:8" x14ac:dyDescent="0.3">
      <c r="B23" s="1"/>
      <c r="C23" s="1" t="s">
        <v>43</v>
      </c>
      <c r="D23" s="1">
        <f>0.38*SQRT($G$18/$D$18)</f>
        <v>10.748023074035522</v>
      </c>
      <c r="E23" s="1"/>
      <c r="F23" s="1" t="s">
        <v>41</v>
      </c>
      <c r="G23" s="1">
        <f>2.45*SQRT($G$18/$D$18)*(1-0.93*$G$22)</f>
        <v>62.851893352547471</v>
      </c>
    </row>
    <row r="24" spans="2:8" x14ac:dyDescent="0.3">
      <c r="B24" s="1"/>
      <c r="C24" s="1"/>
      <c r="D24" s="1"/>
      <c r="E24" s="1"/>
      <c r="F24" s="1" t="s">
        <v>43</v>
      </c>
      <c r="G24" s="1">
        <f>3.76*SQRT($G$18/$D$18)*(1-2.75*$G$22)</f>
        <v>77.102923420581149</v>
      </c>
    </row>
    <row r="25" spans="2:8" x14ac:dyDescent="0.3">
      <c r="B25" s="1"/>
      <c r="C25" s="1" t="s">
        <v>44</v>
      </c>
      <c r="D25" s="1" t="str">
        <f>IF(D21&lt;=D22,"Seismic Highly Ductile",IF(D21&lt;=D23,"Seismic Moderately Ductile","Not Ductile"))</f>
        <v>Seismic Highly Ductile</v>
      </c>
      <c r="E25" s="1"/>
      <c r="F25" s="1" t="s">
        <v>44</v>
      </c>
      <c r="G25" s="1" t="str">
        <f>IF(G21&lt;=G23,"Seismic Highly Ductile",IF(G21&lt;=G24,"Seismic Moderately Ductile","Not Ductile"))</f>
        <v>Seismic Highly Ductile</v>
      </c>
    </row>
    <row r="26" spans="2:8" x14ac:dyDescent="0.3">
      <c r="B26" s="1"/>
      <c r="C26" s="1" t="s">
        <v>45</v>
      </c>
      <c r="D26" s="1" t="str">
        <f>IF(D21&lt;=D23,"COMPACT","NONCOMPACT/SLENDER")</f>
        <v>COMPACT</v>
      </c>
      <c r="E26" s="1"/>
      <c r="F26" s="1" t="s">
        <v>45</v>
      </c>
      <c r="G26" s="1" t="str">
        <f>IF(G21&lt;=G24,"COMPACT","NONCOMPACT/SLENDER")</f>
        <v>COMPACT</v>
      </c>
    </row>
    <row r="28" spans="2:8" x14ac:dyDescent="0.3">
      <c r="B28" s="1" t="s">
        <v>46</v>
      </c>
      <c r="C28" s="1" t="s">
        <v>47</v>
      </c>
      <c r="D28" s="1" t="s">
        <v>48</v>
      </c>
    </row>
    <row r="29" spans="2:8" x14ac:dyDescent="0.3">
      <c r="B29" s="1"/>
      <c r="C29" s="1" t="s">
        <v>49</v>
      </c>
      <c r="D29" s="1" t="s">
        <v>48</v>
      </c>
    </row>
    <row r="31" spans="2:8" x14ac:dyDescent="0.3">
      <c r="B31" s="1" t="s">
        <v>50</v>
      </c>
      <c r="C31" s="1" t="s">
        <v>51</v>
      </c>
      <c r="D31" s="1">
        <f>($D$18*$G$6)/10^6</f>
        <v>6019.2</v>
      </c>
      <c r="E31" s="1" t="s">
        <v>28</v>
      </c>
    </row>
    <row r="32" spans="2:8" x14ac:dyDescent="0.3">
      <c r="B32" s="1"/>
      <c r="C32" s="1" t="s">
        <v>52</v>
      </c>
      <c r="D32" s="1">
        <f>D31</f>
        <v>6019.2</v>
      </c>
      <c r="E32" s="1" t="s">
        <v>28</v>
      </c>
    </row>
    <row r="34" spans="2:8" x14ac:dyDescent="0.3">
      <c r="B34" s="1" t="s">
        <v>53</v>
      </c>
      <c r="C34" s="1" t="s">
        <v>54</v>
      </c>
      <c r="D34" s="1">
        <f>(0.2*D13)*10^3</f>
        <v>4000</v>
      </c>
      <c r="E34" s="1" t="s">
        <v>4</v>
      </c>
      <c r="F34" s="1" t="s">
        <v>55</v>
      </c>
      <c r="G34" s="1" t="str">
        <f>IF(D34&lt;=D35,"NO LTB","CHECK LTB")</f>
        <v>NO LTB</v>
      </c>
      <c r="H34" s="1"/>
    </row>
    <row r="35" spans="2:8" x14ac:dyDescent="0.3">
      <c r="B35" s="1"/>
      <c r="C35" s="1" t="s">
        <v>56</v>
      </c>
      <c r="D35" s="1">
        <f>1.76*$G$11*SQRT($G$18/$D$18)</f>
        <v>5630.1538974347759</v>
      </c>
      <c r="E35" s="1" t="s">
        <v>4</v>
      </c>
      <c r="F35" s="1" t="s">
        <v>57</v>
      </c>
      <c r="G35" s="1">
        <f>D31</f>
        <v>6019.2</v>
      </c>
      <c r="H35" s="1" t="s">
        <v>28</v>
      </c>
    </row>
    <row r="36" spans="2:8" x14ac:dyDescent="0.3">
      <c r="B36" s="1"/>
      <c r="C36" s="1" t="s">
        <v>58</v>
      </c>
      <c r="D36" s="1">
        <v>1</v>
      </c>
      <c r="E36" s="1"/>
      <c r="F36" s="1" t="s">
        <v>59</v>
      </c>
      <c r="G36" s="1" t="str">
        <f>IF(D34&lt;=D35,"NO LTB",IF(D34&lt;=D39,"YES","NO"))</f>
        <v>NO LTB</v>
      </c>
      <c r="H36" s="1"/>
    </row>
    <row r="37" spans="2:8" x14ac:dyDescent="0.3">
      <c r="B37" s="1"/>
      <c r="C37" s="1" t="s">
        <v>60</v>
      </c>
      <c r="D37" s="1">
        <f>SQRT(SQRT(G8*D11)/G5)</f>
        <v>133.67591852580648</v>
      </c>
      <c r="E37" s="1" t="s">
        <v>4</v>
      </c>
      <c r="F37" s="1" t="s">
        <v>61</v>
      </c>
      <c r="G37" s="1">
        <f>D40*PI()^2*$G$18/(D34/D37)^2*SQRT(1+0.078*D10/($G$5*D38)*(D34/D37)^2)</f>
        <v>2245.0707757569758</v>
      </c>
      <c r="H37" s="1" t="s">
        <v>34</v>
      </c>
    </row>
    <row r="38" spans="2:8" x14ac:dyDescent="0.3">
      <c r="B38" s="1"/>
      <c r="C38" s="1" t="s">
        <v>62</v>
      </c>
      <c r="D38" s="1">
        <f>D5-D7</f>
        <v>1152</v>
      </c>
      <c r="E38" s="1" t="s">
        <v>4</v>
      </c>
      <c r="F38" s="1" t="s">
        <v>63</v>
      </c>
      <c r="G38" s="1">
        <f>IF(D34&lt;=D39,MIN(D40*(D31*10^6-(D31*10^6-0.7*$D$18*$G$5)*(D34-D35)/(D39-D35)),D31*10^6)*10^-6,MIN(G37*$G$5,D31*10^6)*10^-6)</f>
        <v>6019.2</v>
      </c>
      <c r="H38" s="1" t="s">
        <v>28</v>
      </c>
    </row>
    <row r="39" spans="2:8" x14ac:dyDescent="0.3">
      <c r="B39" s="1"/>
      <c r="C39" s="1" t="s">
        <v>64</v>
      </c>
      <c r="D39" s="1">
        <f>1.95*D37*$G$18/(0.7*$D$18)*SQRT(D10/(G5*D38)+SQRT((D10/(G5*D38))^2+6.76*(0.7*D18/G18)^2))</f>
        <v>15953.175802289637</v>
      </c>
      <c r="E39" s="1" t="s">
        <v>4</v>
      </c>
      <c r="F39" s="1"/>
      <c r="G39" s="1"/>
      <c r="H39" s="1"/>
    </row>
    <row r="40" spans="2:8" x14ac:dyDescent="0.3">
      <c r="B40" s="1"/>
      <c r="C40" s="1" t="s">
        <v>65</v>
      </c>
      <c r="D40" s="1">
        <v>1</v>
      </c>
      <c r="E40" s="1"/>
      <c r="F40" s="1"/>
      <c r="G40" s="1"/>
      <c r="H40" s="1"/>
    </row>
    <row r="42" spans="2:8" x14ac:dyDescent="0.3">
      <c r="B42" s="1" t="s">
        <v>66</v>
      </c>
      <c r="C42" s="1" t="s">
        <v>52</v>
      </c>
      <c r="D42" s="1">
        <f>MIN(D32,G35,G38)</f>
        <v>6019.2</v>
      </c>
      <c r="E42" s="1" t="s">
        <v>28</v>
      </c>
    </row>
    <row r="43" spans="2:8" x14ac:dyDescent="0.3">
      <c r="B43" s="1"/>
      <c r="C43" s="1" t="s">
        <v>67</v>
      </c>
      <c r="D43" s="1">
        <v>0.9</v>
      </c>
      <c r="E43" s="1"/>
    </row>
    <row r="44" spans="2:8" x14ac:dyDescent="0.3">
      <c r="B44" s="1"/>
      <c r="C44" s="1" t="s">
        <v>68</v>
      </c>
      <c r="D44" s="1">
        <f>D42*D43</f>
        <v>5417.28</v>
      </c>
      <c r="E44" s="1" t="s">
        <v>28</v>
      </c>
    </row>
    <row r="45" spans="2:8" x14ac:dyDescent="0.3">
      <c r="B45" s="1"/>
      <c r="C45" s="1" t="s">
        <v>69</v>
      </c>
      <c r="D45" s="1">
        <f>D14/D44</f>
        <v>0.89552136865733356</v>
      </c>
      <c r="E45" s="1"/>
    </row>
    <row r="46" spans="2:8" x14ac:dyDescent="0.3">
      <c r="B46" s="1"/>
      <c r="C46" s="1" t="s">
        <v>70</v>
      </c>
      <c r="D46" s="1" t="str">
        <f>IF(D45&lt;=1,"OK","NOT OK")</f>
        <v>OK</v>
      </c>
      <c r="E46" s="1"/>
    </row>
    <row r="48" spans="2:8" x14ac:dyDescent="0.3">
      <c r="B48" s="1" t="s">
        <v>71</v>
      </c>
      <c r="C48" s="1" t="s">
        <v>54</v>
      </c>
      <c r="D48" s="1">
        <f>D34</f>
        <v>4000</v>
      </c>
      <c r="E48" s="1" t="s">
        <v>4</v>
      </c>
    </row>
    <row r="49" spans="2:5" x14ac:dyDescent="0.3">
      <c r="B49" s="1"/>
      <c r="C49" s="1" t="s">
        <v>23</v>
      </c>
      <c r="D49" s="1">
        <f>G11</f>
        <v>113.1</v>
      </c>
      <c r="E49" s="1" t="s">
        <v>4</v>
      </c>
    </row>
    <row r="50" spans="2:5" x14ac:dyDescent="0.3">
      <c r="B50" s="1"/>
      <c r="C50" s="1" t="s">
        <v>72</v>
      </c>
      <c r="D50" s="1">
        <f>D48/D49</f>
        <v>35.366931918656057</v>
      </c>
      <c r="E50" s="1"/>
    </row>
    <row r="51" spans="2:5" x14ac:dyDescent="0.3">
      <c r="B51" s="1"/>
      <c r="C51" s="1" t="s">
        <v>73</v>
      </c>
      <c r="D51" s="1">
        <f>0.086*$G$18/$D$18</f>
        <v>68.8</v>
      </c>
      <c r="E51" s="1"/>
    </row>
    <row r="52" spans="2:5" x14ac:dyDescent="0.3">
      <c r="B52" s="1"/>
      <c r="C52" s="1" t="s">
        <v>74</v>
      </c>
      <c r="D52" s="1" t="str">
        <f>IF(D50&lt;=D51,"OK","NOT OK")</f>
        <v>OK</v>
      </c>
      <c r="E52" s="1"/>
    </row>
    <row r="54" spans="2:5" x14ac:dyDescent="0.3">
      <c r="B54" s="1" t="s">
        <v>75</v>
      </c>
      <c r="C54" s="1" t="s">
        <v>40</v>
      </c>
      <c r="D54" s="1">
        <f>G21</f>
        <v>62.222222222222221</v>
      </c>
      <c r="E54" s="1"/>
    </row>
    <row r="55" spans="2:5" x14ac:dyDescent="0.3">
      <c r="B55" s="1"/>
      <c r="C55" s="1" t="s">
        <v>76</v>
      </c>
      <c r="D55" s="1">
        <v>5</v>
      </c>
      <c r="E55" s="1"/>
    </row>
    <row r="56" spans="2:5" x14ac:dyDescent="0.3">
      <c r="B56" s="1"/>
      <c r="C56" s="5" t="s">
        <v>77</v>
      </c>
      <c r="D56" s="1">
        <f>1.1*SQRT($D$55*$G$18/$D$18)</f>
        <v>69.570108523704349</v>
      </c>
      <c r="E56" s="1"/>
    </row>
    <row r="57" spans="2:5" x14ac:dyDescent="0.3">
      <c r="B57" s="1"/>
      <c r="C57" s="5" t="s">
        <v>78</v>
      </c>
      <c r="D57" s="1">
        <f>1.37*SQRT($D$55*$G$18/$D$18)</f>
        <v>86.646407888613595</v>
      </c>
      <c r="E57" s="1"/>
    </row>
    <row r="58" spans="2:5" x14ac:dyDescent="0.3">
      <c r="B58" s="1"/>
      <c r="C58" s="6" t="s">
        <v>79</v>
      </c>
      <c r="D58" s="1">
        <f>IF(D55&lt;=D56,1,IF(D55&lt;=D57,D56/D54,1.51*D55*$G$18/$D$18/(D54^2)))</f>
        <v>1</v>
      </c>
      <c r="E58" s="1"/>
    </row>
    <row r="59" spans="2:5" x14ac:dyDescent="0.3">
      <c r="B59" s="1"/>
      <c r="C59" s="6" t="s">
        <v>80</v>
      </c>
      <c r="D59" s="1">
        <f>D5*D6</f>
        <v>21312</v>
      </c>
      <c r="E59" s="1" t="s">
        <v>17</v>
      </c>
    </row>
    <row r="60" spans="2:5" x14ac:dyDescent="0.3">
      <c r="B60" s="1"/>
      <c r="C60" s="6" t="s">
        <v>81</v>
      </c>
      <c r="D60" s="1">
        <f>(0.6*$D$18*D59*D58)/10^3</f>
        <v>3196.8</v>
      </c>
      <c r="E60" s="1" t="s">
        <v>30</v>
      </c>
    </row>
    <row r="61" spans="2:5" x14ac:dyDescent="0.3">
      <c r="B61" s="1"/>
      <c r="C61" s="1" t="s">
        <v>82</v>
      </c>
      <c r="D61" s="1">
        <v>0.9</v>
      </c>
      <c r="E61" s="1"/>
    </row>
    <row r="62" spans="2:5" x14ac:dyDescent="0.3">
      <c r="B62" s="1"/>
      <c r="C62" s="1" t="s">
        <v>83</v>
      </c>
      <c r="D62" s="1">
        <f>D61*D60</f>
        <v>2877.1200000000003</v>
      </c>
      <c r="E62" s="1" t="s">
        <v>30</v>
      </c>
    </row>
    <row r="63" spans="2:5" x14ac:dyDescent="0.3">
      <c r="B63" s="1"/>
      <c r="C63" s="1" t="s">
        <v>69</v>
      </c>
      <c r="D63" s="1">
        <f>D15/D62</f>
        <v>0.50025414303192073</v>
      </c>
      <c r="E63" s="1"/>
    </row>
    <row r="64" spans="2:5" x14ac:dyDescent="0.3">
      <c r="B64" s="1"/>
      <c r="C64" s="1" t="s">
        <v>84</v>
      </c>
      <c r="D64" s="1" t="str">
        <f>IF(D63&lt;=1,"OK","NOT OK")</f>
        <v>OK</v>
      </c>
      <c r="E64" s="1"/>
    </row>
    <row r="66" spans="2:5" x14ac:dyDescent="0.3">
      <c r="B66" s="1" t="s">
        <v>85</v>
      </c>
      <c r="C66" s="1"/>
      <c r="D66" s="1"/>
      <c r="E66" s="1"/>
    </row>
    <row r="67" spans="2:5" x14ac:dyDescent="0.3">
      <c r="B67" s="1" t="s">
        <v>86</v>
      </c>
      <c r="C67" s="1" t="s">
        <v>87</v>
      </c>
      <c r="D67" s="1">
        <f>(D18*D9)/10^3</f>
        <v>13040</v>
      </c>
      <c r="E67" s="1" t="s">
        <v>30</v>
      </c>
    </row>
    <row r="68" spans="2:5" x14ac:dyDescent="0.3">
      <c r="B68" s="1"/>
      <c r="C68" s="1" t="s">
        <v>88</v>
      </c>
      <c r="D68" s="1">
        <v>0.9</v>
      </c>
      <c r="E68" s="1"/>
    </row>
    <row r="69" spans="2:5" x14ac:dyDescent="0.3">
      <c r="B69" s="1"/>
      <c r="C69" s="1" t="s">
        <v>89</v>
      </c>
      <c r="D69" s="1">
        <f>D68*D67</f>
        <v>11736</v>
      </c>
      <c r="E69" s="1" t="s">
        <v>30</v>
      </c>
    </row>
    <row r="70" spans="2:5" x14ac:dyDescent="0.3">
      <c r="B70" s="1" t="s">
        <v>90</v>
      </c>
      <c r="C70" s="1" t="s">
        <v>91</v>
      </c>
      <c r="D70" s="1">
        <f>D9</f>
        <v>52160</v>
      </c>
      <c r="E70" s="1" t="s">
        <v>17</v>
      </c>
    </row>
    <row r="71" spans="2:5" x14ac:dyDescent="0.3">
      <c r="B71" s="1"/>
      <c r="C71" s="1" t="s">
        <v>92</v>
      </c>
      <c r="D71" s="1">
        <v>1</v>
      </c>
      <c r="E71" s="1"/>
    </row>
    <row r="72" spans="2:5" x14ac:dyDescent="0.3">
      <c r="B72" s="1"/>
      <c r="C72" s="1" t="s">
        <v>93</v>
      </c>
      <c r="D72" s="1">
        <f>MIN(D71*D70,0.85*D9)</f>
        <v>44336</v>
      </c>
      <c r="E72" s="1" t="s">
        <v>17</v>
      </c>
    </row>
    <row r="73" spans="2:5" x14ac:dyDescent="0.3">
      <c r="B73" s="1"/>
      <c r="C73" s="1" t="s">
        <v>87</v>
      </c>
      <c r="D73" s="1">
        <f>(D19*D72)/10^3</f>
        <v>18177.759999999998</v>
      </c>
      <c r="E73" s="1" t="s">
        <v>30</v>
      </c>
    </row>
    <row r="74" spans="2:5" x14ac:dyDescent="0.3">
      <c r="B74" s="1"/>
      <c r="C74" s="1" t="s">
        <v>88</v>
      </c>
      <c r="D74" s="1">
        <v>0.75</v>
      </c>
      <c r="E74" s="1"/>
    </row>
    <row r="75" spans="2:5" x14ac:dyDescent="0.3">
      <c r="B75" s="1"/>
      <c r="C75" s="1" t="s">
        <v>89</v>
      </c>
      <c r="D75" s="1">
        <f>D74*D73</f>
        <v>13633.32</v>
      </c>
      <c r="E75" s="1" t="s">
        <v>30</v>
      </c>
    </row>
    <row r="76" spans="2:5" x14ac:dyDescent="0.3">
      <c r="B76" s="1" t="str">
        <f>CONCATENATE("DESIGN: ",IF(D69&lt;=D75,"YIELDING- GROSS SECTION","FRACTURE - GROSS SECTION"))</f>
        <v>DESIGN: YIELDING- GROSS SECTION</v>
      </c>
      <c r="C76" s="1" t="s">
        <v>89</v>
      </c>
      <c r="D76" s="1">
        <f>MIN(D69,D75)</f>
        <v>11736</v>
      </c>
      <c r="E76" s="1" t="s">
        <v>30</v>
      </c>
    </row>
    <row r="77" spans="2:5" x14ac:dyDescent="0.3">
      <c r="B77" s="1"/>
      <c r="C77" s="1" t="s">
        <v>69</v>
      </c>
      <c r="D77" s="1">
        <f>D16/D76</f>
        <v>1.7542305725971371E-2</v>
      </c>
      <c r="E77" s="1"/>
    </row>
    <row r="78" spans="2:5" x14ac:dyDescent="0.3">
      <c r="B78" s="1"/>
      <c r="C78" s="1" t="s">
        <v>94</v>
      </c>
      <c r="D78" s="1" t="str">
        <f>IF(D77&lt;=1,"OK","NOT OK")</f>
        <v>OK</v>
      </c>
      <c r="E78" s="1"/>
    </row>
    <row r="80" spans="2:5" x14ac:dyDescent="0.3">
      <c r="B80" s="1" t="s">
        <v>95</v>
      </c>
      <c r="C80" s="1" t="s">
        <v>96</v>
      </c>
      <c r="D80" s="1">
        <f>(D13-1.3/2-1.1/2)*10^3</f>
        <v>18800</v>
      </c>
      <c r="E80" s="1" t="s">
        <v>4</v>
      </c>
    </row>
    <row r="81" spans="2:5" x14ac:dyDescent="0.3">
      <c r="B81" s="1"/>
      <c r="C81" s="1" t="s">
        <v>97</v>
      </c>
      <c r="D81" s="1">
        <f>0.2*D13*10^3</f>
        <v>4000</v>
      </c>
      <c r="E81" s="1" t="s">
        <v>4</v>
      </c>
    </row>
    <row r="82" spans="2:5" x14ac:dyDescent="0.3">
      <c r="B82" s="1"/>
      <c r="C82" s="1" t="s">
        <v>98</v>
      </c>
      <c r="D82" s="1">
        <v>1</v>
      </c>
      <c r="E82" s="1"/>
    </row>
    <row r="83" spans="2:5" x14ac:dyDescent="0.3">
      <c r="B83" s="1"/>
      <c r="C83" s="1" t="s">
        <v>99</v>
      </c>
      <c r="D83" s="1">
        <v>1</v>
      </c>
      <c r="E83" s="1"/>
    </row>
    <row r="84" spans="2:5" x14ac:dyDescent="0.3">
      <c r="B84" s="1"/>
      <c r="C84" s="1" t="s">
        <v>13</v>
      </c>
      <c r="D84" s="1">
        <f>G7</f>
        <v>494</v>
      </c>
      <c r="E84" s="1" t="s">
        <v>4</v>
      </c>
    </row>
    <row r="85" spans="2:5" x14ac:dyDescent="0.3">
      <c r="B85" s="1"/>
      <c r="C85" s="1" t="s">
        <v>23</v>
      </c>
      <c r="D85" s="1">
        <f>G11</f>
        <v>113.1</v>
      </c>
      <c r="E85" s="1" t="s">
        <v>4</v>
      </c>
    </row>
    <row r="86" spans="2:5" x14ac:dyDescent="0.3">
      <c r="B86" s="1"/>
      <c r="C86" s="1" t="s">
        <v>100</v>
      </c>
      <c r="D86" s="1">
        <f>D82*D80/D84</f>
        <v>38.056680161943319</v>
      </c>
      <c r="E86" s="1"/>
    </row>
    <row r="87" spans="2:5" x14ac:dyDescent="0.3">
      <c r="B87" s="1"/>
      <c r="C87" s="1" t="s">
        <v>101</v>
      </c>
      <c r="D87" s="1">
        <f>D83*D81/D85</f>
        <v>35.366931918656057</v>
      </c>
      <c r="E87" s="1"/>
    </row>
    <row r="88" spans="2:5" x14ac:dyDescent="0.3">
      <c r="B88" s="1"/>
      <c r="C88" s="1" t="s">
        <v>102</v>
      </c>
      <c r="D88" s="1">
        <f>MAX(D86:D87)</f>
        <v>38.056680161943319</v>
      </c>
      <c r="E88" s="1"/>
    </row>
    <row r="89" spans="2:5" x14ac:dyDescent="0.3">
      <c r="B89" s="1" t="s">
        <v>103</v>
      </c>
      <c r="C89" s="1" t="s">
        <v>104</v>
      </c>
      <c r="D89" s="1">
        <f>PI()^2*G18/(D88^2)</f>
        <v>1362.912392272659</v>
      </c>
      <c r="E89" s="1" t="s">
        <v>34</v>
      </c>
    </row>
    <row r="90" spans="2:5" x14ac:dyDescent="0.3">
      <c r="B90" s="1"/>
      <c r="C90" s="5" t="s">
        <v>105</v>
      </c>
      <c r="D90" s="1">
        <f>4.71*SQRT(G18/D18)</f>
        <v>133.21891757554556</v>
      </c>
      <c r="E90" s="1"/>
    </row>
    <row r="91" spans="2:5" x14ac:dyDescent="0.3">
      <c r="B91" s="1"/>
      <c r="C91" s="1" t="s">
        <v>106</v>
      </c>
      <c r="D91" s="1" t="str">
        <f>IF(D88&lt;=D90,"YES","NO")</f>
        <v>YES</v>
      </c>
      <c r="E91" s="1"/>
    </row>
    <row r="92" spans="2:5" x14ac:dyDescent="0.3">
      <c r="B92" s="1"/>
      <c r="C92" s="7" t="s">
        <v>61</v>
      </c>
      <c r="D92" s="1">
        <f>IF(D88&lt;=D90,0.658^(D18/D89)*D18,0.877*D89)</f>
        <v>231.52455260440325</v>
      </c>
      <c r="E92" s="1" t="s">
        <v>34</v>
      </c>
    </row>
    <row r="93" spans="2:5" x14ac:dyDescent="0.3">
      <c r="B93" s="1"/>
      <c r="C93" s="7" t="s">
        <v>87</v>
      </c>
      <c r="D93" s="1">
        <f>(D92*D9)/10^3</f>
        <v>12076.320663845674</v>
      </c>
      <c r="E93" s="1" t="s">
        <v>30</v>
      </c>
    </row>
    <row r="94" spans="2:5" x14ac:dyDescent="0.3">
      <c r="B94" s="1"/>
      <c r="C94" s="1" t="s">
        <v>107</v>
      </c>
      <c r="D94" s="1">
        <v>0.9</v>
      </c>
      <c r="E94" s="1"/>
    </row>
    <row r="95" spans="2:5" x14ac:dyDescent="0.3">
      <c r="B95" s="1"/>
      <c r="C95" s="1" t="s">
        <v>108</v>
      </c>
      <c r="D95" s="1">
        <f>D94*D93</f>
        <v>10868.688597461107</v>
      </c>
      <c r="E95" s="1" t="s">
        <v>30</v>
      </c>
    </row>
    <row r="96" spans="2:5" x14ac:dyDescent="0.3">
      <c r="B96" s="1" t="s">
        <v>109</v>
      </c>
      <c r="C96" s="1" t="s">
        <v>110</v>
      </c>
      <c r="D96" s="1">
        <v>1</v>
      </c>
      <c r="E96" s="1"/>
    </row>
    <row r="97" spans="2:5" x14ac:dyDescent="0.3">
      <c r="B97" s="1"/>
      <c r="C97" s="7" t="s">
        <v>104</v>
      </c>
      <c r="D97" s="1">
        <f>(PI()^2*G18*D11/(D96*D81)^2+G19*D10)/(G4+G8)</f>
        <v>2113.1281072768443</v>
      </c>
      <c r="E97" s="1" t="s">
        <v>34</v>
      </c>
    </row>
    <row r="98" spans="2:5" x14ac:dyDescent="0.3">
      <c r="B98" s="1"/>
      <c r="C98" s="7" t="s">
        <v>61</v>
      </c>
      <c r="D98" s="1">
        <f>IF(D88&lt;=D90,0.658^(D18/D97)*D18,0.877*D97)</f>
        <v>237.92203963025622</v>
      </c>
      <c r="E98" s="1" t="s">
        <v>34</v>
      </c>
    </row>
    <row r="99" spans="2:5" x14ac:dyDescent="0.3">
      <c r="B99" s="1"/>
      <c r="C99" s="7" t="s">
        <v>87</v>
      </c>
      <c r="D99" s="1">
        <f>(D98*D9)/10^3</f>
        <v>12410.013587114165</v>
      </c>
      <c r="E99" s="1" t="s">
        <v>30</v>
      </c>
    </row>
    <row r="100" spans="2:5" x14ac:dyDescent="0.3">
      <c r="B100" s="1"/>
      <c r="C100" s="1" t="s">
        <v>107</v>
      </c>
      <c r="D100" s="1">
        <v>0.9</v>
      </c>
      <c r="E100" s="1"/>
    </row>
    <row r="101" spans="2:5" x14ac:dyDescent="0.3">
      <c r="B101" s="1"/>
      <c r="C101" s="1" t="s">
        <v>108</v>
      </c>
      <c r="D101" s="1">
        <f>D100*D99</f>
        <v>11169.012228402749</v>
      </c>
      <c r="E101" s="1" t="s">
        <v>30</v>
      </c>
    </row>
    <row r="102" spans="2:5" x14ac:dyDescent="0.3">
      <c r="B102" s="1" t="str">
        <f>CONCATENATE("DESIGN: ",IF(D95&lt;=D101,"FLEXURAL BUCKLING","FLEXURAL-TORSIONAL BUCKLING"))</f>
        <v>DESIGN: FLEXURAL BUCKLING</v>
      </c>
      <c r="C102" s="1" t="s">
        <v>108</v>
      </c>
      <c r="D102" s="1">
        <f>MIN(D95,D101)</f>
        <v>10868.688597461107</v>
      </c>
      <c r="E10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I-beam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2020-05-09T03:53:52Z</dcterms:created>
  <dcterms:modified xsi:type="dcterms:W3CDTF">2020-05-09T03:54:14Z</dcterms:modified>
</cp:coreProperties>
</file>