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19440" windowHeight="13740" firstSheet="1" activeTab="2"/>
  </bookViews>
  <sheets>
    <sheet name="Concentration" sheetId="2" state="hidden" r:id="rId1"/>
    <sheet name="Retained #10 Sieve" sheetId="3" r:id="rId2"/>
    <sheet name="Passing #10 Sieve" sheetId="4" r:id="rId3"/>
    <sheet name="TOTALS" sheetId="5" state="hidden" r:id="rId4"/>
    <sheet name="PRINT" sheetId="1" state="hidden" r:id="rId5"/>
    <sheet name="RESULTS" sheetId="6" r:id="rId6"/>
  </sheets>
  <externalReferences>
    <externalReference r:id="rId7"/>
  </externalReferences>
  <definedNames>
    <definedName name="G">'Passing #10 Sieve'!$B$3</definedName>
    <definedName name="Gone">'Passing #10 Sieve'!$G$20:$G$26</definedName>
    <definedName name="K">'Passing #10 Sieve'!$K$20:$K$26</definedName>
    <definedName name="L">'Passing #10 Sieve'!$J$20:$J$26</definedName>
    <definedName name="P">'Passing #10 Sieve'!$H$20:$H$26</definedName>
    <definedName name="_xlnm.Print_Area" localSheetId="2">'Passing #10 Sieve'!$A$1:$J$41</definedName>
    <definedName name="_xlnm.Print_Area" localSheetId="4">PRINT!$A$1:$W$39</definedName>
    <definedName name="_xlnm.Print_Area" localSheetId="1">'Retained #10 Sieve'!$A$3:$H$23</definedName>
    <definedName name="_xlnm.Print_Area" localSheetId="3">TOTALS!$A$1:$G$23</definedName>
    <definedName name="R_">'Passing #10 Sieve'!$F$20:$F$26</definedName>
    <definedName name="T">'Passing #10 Sieve'!$B$20:$B$26</definedName>
    <definedName name="W" localSheetId="2">'Passing #10 Sieve'!$E$6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0" i="4" l="1"/>
  <c r="L21" i="4"/>
  <c r="L22" i="4"/>
  <c r="L23" i="4"/>
  <c r="L24" i="4"/>
  <c r="L25" i="4"/>
  <c r="L26" i="4"/>
  <c r="H20" i="4"/>
  <c r="I10" i="4"/>
  <c r="G12" i="5"/>
  <c r="F12" i="5"/>
  <c r="E12" i="5"/>
  <c r="G21" i="4" l="1"/>
  <c r="G22" i="4"/>
  <c r="G23" i="4"/>
  <c r="G24" i="4"/>
  <c r="G25" i="4"/>
  <c r="G26" i="4"/>
  <c r="G20" i="4"/>
  <c r="E21" i="4"/>
  <c r="E22" i="4"/>
  <c r="E23" i="4"/>
  <c r="E24" i="4"/>
  <c r="E25" i="4"/>
  <c r="E26" i="4"/>
  <c r="E20" i="4"/>
  <c r="F12" i="4"/>
  <c r="E5" i="6" l="1"/>
  <c r="M5" i="6" s="1"/>
  <c r="N5" i="6" s="1"/>
  <c r="E6" i="6"/>
  <c r="E7" i="6"/>
  <c r="E8" i="6"/>
  <c r="E9" i="6"/>
  <c r="E10" i="6"/>
  <c r="E12" i="6"/>
  <c r="E13" i="6"/>
  <c r="E11" i="6"/>
  <c r="M11" i="6" s="1"/>
  <c r="N11" i="6" s="1"/>
  <c r="D21" i="4"/>
  <c r="D22" i="4"/>
  <c r="D23" i="4"/>
  <c r="D24" i="4"/>
  <c r="D25" i="4"/>
  <c r="D26" i="4"/>
  <c r="D20" i="4"/>
  <c r="F10" i="4"/>
  <c r="F11" i="4"/>
  <c r="D12" i="4" s="1"/>
  <c r="E5" i="4"/>
  <c r="F5" i="4" s="1"/>
  <c r="E2" i="6"/>
  <c r="E3" i="6" s="1"/>
  <c r="G2" i="6"/>
  <c r="C15" i="6"/>
  <c r="D15" i="6" s="1"/>
  <c r="C16" i="6"/>
  <c r="D16" i="6" s="1"/>
  <c r="C17" i="6"/>
  <c r="D17" i="6" s="1"/>
  <c r="C18" i="6"/>
  <c r="D18" i="6" s="1"/>
  <c r="C14" i="6"/>
  <c r="D14" i="6" s="1"/>
  <c r="J8" i="3"/>
  <c r="K8" i="3"/>
  <c r="K10" i="3"/>
  <c r="C6" i="6"/>
  <c r="D6" i="6" s="1"/>
  <c r="C7" i="6"/>
  <c r="D7" i="6" s="1"/>
  <c r="C8" i="6"/>
  <c r="D8" i="6" s="1"/>
  <c r="C9" i="6"/>
  <c r="D9" i="6" s="1"/>
  <c r="C10" i="6"/>
  <c r="D10" i="6" s="1"/>
  <c r="C11" i="6"/>
  <c r="D11" i="6" s="1"/>
  <c r="C12" i="6"/>
  <c r="D12" i="6" s="1"/>
  <c r="C13" i="6"/>
  <c r="D13" i="6" s="1"/>
  <c r="C5" i="6"/>
  <c r="D5" i="6" s="1"/>
  <c r="F13" i="6" l="1"/>
  <c r="M13" i="6"/>
  <c r="N13" i="6" s="1"/>
  <c r="M12" i="6"/>
  <c r="N12" i="6" s="1"/>
  <c r="G3" i="6"/>
  <c r="M10" i="6"/>
  <c r="N10" i="6" s="1"/>
  <c r="M9" i="6"/>
  <c r="N9" i="6" s="1"/>
  <c r="M8" i="6"/>
  <c r="N8" i="6" s="1"/>
  <c r="M7" i="6"/>
  <c r="N7" i="6" s="1"/>
  <c r="M6" i="6"/>
  <c r="N6" i="6" s="1"/>
  <c r="J25" i="4"/>
  <c r="J24" i="4"/>
  <c r="J23" i="4"/>
  <c r="J22" i="4"/>
  <c r="J21" i="4"/>
  <c r="J20" i="4"/>
  <c r="J26" i="4"/>
  <c r="F6" i="6"/>
  <c r="F11" i="6"/>
  <c r="F10" i="6"/>
  <c r="F9" i="6"/>
  <c r="F12" i="6"/>
  <c r="F8" i="6"/>
  <c r="F5" i="6"/>
  <c r="F7" i="6"/>
  <c r="I9" i="5"/>
  <c r="I3" i="5"/>
  <c r="J4" i="5"/>
  <c r="J5" i="5"/>
  <c r="J6" i="5"/>
  <c r="J7" i="5"/>
  <c r="J8" i="5"/>
  <c r="J9" i="5"/>
  <c r="J10" i="5"/>
  <c r="J11" i="5"/>
  <c r="J3" i="5"/>
  <c r="F20" i="4" l="1"/>
  <c r="F23" i="4"/>
  <c r="H23" i="4" s="1"/>
  <c r="F22" i="4"/>
  <c r="H22" i="4" s="1"/>
  <c r="F21" i="4"/>
  <c r="H21" i="4" s="1"/>
  <c r="C16" i="5"/>
  <c r="D16" i="5" s="1"/>
  <c r="J16" i="5" s="1"/>
  <c r="I5" i="4" l="1"/>
  <c r="D16" i="3"/>
  <c r="E4" i="3"/>
  <c r="D1" i="2" l="1"/>
  <c r="B1" i="2" s="1"/>
  <c r="B12" i="2" l="1"/>
  <c r="B2" i="2"/>
  <c r="B4" i="2" s="1"/>
  <c r="B16" i="2" l="1"/>
  <c r="F12" i="1" s="1"/>
  <c r="Q17" i="1"/>
  <c r="S17" i="1"/>
  <c r="T17" i="1"/>
  <c r="N17" i="1"/>
  <c r="O12" i="1" l="1"/>
  <c r="B7" i="3"/>
  <c r="B8" i="3"/>
  <c r="B9" i="3"/>
  <c r="B10" i="3"/>
  <c r="B11" i="3"/>
  <c r="B12" i="3"/>
  <c r="B13" i="3"/>
  <c r="B14" i="3"/>
  <c r="I38" i="4"/>
  <c r="I39" i="4"/>
  <c r="I40" i="4"/>
  <c r="B36" i="4"/>
  <c r="B37" i="4"/>
  <c r="B38" i="4"/>
  <c r="B39" i="4"/>
  <c r="B40" i="4"/>
  <c r="F24" i="4" l="1"/>
  <c r="H24" i="4" s="1"/>
  <c r="F25" i="4"/>
  <c r="H25" i="4" s="1"/>
  <c r="F26" i="4"/>
  <c r="H26" i="4" s="1"/>
  <c r="A26" i="4"/>
  <c r="A25" i="4"/>
  <c r="AA48" i="5" l="1"/>
  <c r="S48" i="5"/>
  <c r="AA47" i="5"/>
  <c r="S47" i="5"/>
  <c r="AA46" i="5"/>
  <c r="AA45" i="5"/>
  <c r="H16" i="3" l="1"/>
  <c r="C19" i="3" s="1"/>
  <c r="B6" i="2" s="1"/>
  <c r="H9" i="3"/>
  <c r="B7" i="2" l="1"/>
  <c r="B11" i="2" s="1"/>
  <c r="B15" i="2" s="1"/>
  <c r="F11" i="1" s="1"/>
  <c r="B10" i="2"/>
  <c r="B14" i="2" s="1"/>
  <c r="F10" i="1" s="1"/>
  <c r="E4" i="4"/>
  <c r="E6" i="4" s="1"/>
  <c r="D17" i="3"/>
  <c r="C4" i="5" l="1"/>
  <c r="N20" i="1" s="1"/>
  <c r="C5" i="5"/>
  <c r="C6" i="5"/>
  <c r="N22" i="1" s="1"/>
  <c r="C7" i="5"/>
  <c r="N23" i="1" s="1"/>
  <c r="C8" i="5"/>
  <c r="N24" i="1" s="1"/>
  <c r="C9" i="5"/>
  <c r="N25" i="1" s="1"/>
  <c r="C10" i="5"/>
  <c r="N26" i="1" s="1"/>
  <c r="C11" i="5"/>
  <c r="N27" i="1" s="1"/>
  <c r="C3" i="5"/>
  <c r="N19" i="1" s="1"/>
  <c r="D5" i="5" l="1"/>
  <c r="Q21" i="1" s="1"/>
  <c r="N21" i="1"/>
  <c r="C13" i="5"/>
  <c r="N29" i="1" s="1"/>
  <c r="C14" i="5"/>
  <c r="N30" i="1" s="1"/>
  <c r="C15" i="5"/>
  <c r="AF37" i="5"/>
  <c r="C12" i="5"/>
  <c r="N28" i="1" s="1"/>
  <c r="AF35" i="5" l="1"/>
  <c r="N31" i="1"/>
  <c r="AF36" i="5"/>
  <c r="J40" i="4"/>
  <c r="H40" i="4"/>
  <c r="F40" i="4"/>
  <c r="E40" i="4"/>
  <c r="J39" i="4"/>
  <c r="H39" i="4"/>
  <c r="F39" i="4"/>
  <c r="E39" i="4"/>
  <c r="E38" i="4"/>
  <c r="E37" i="4"/>
  <c r="E35" i="4"/>
  <c r="E34" i="4"/>
  <c r="E33" i="4"/>
  <c r="E32" i="4"/>
  <c r="E36" i="4"/>
  <c r="E41" i="4" l="1"/>
  <c r="D3" i="5"/>
  <c r="Q19" i="1" s="1"/>
  <c r="D4" i="5"/>
  <c r="Q20" i="1" s="1"/>
  <c r="D6" i="5"/>
  <c r="Q22" i="1" s="1"/>
  <c r="D7" i="5"/>
  <c r="Q23" i="1" s="1"/>
  <c r="D8" i="5"/>
  <c r="Q24" i="1" s="1"/>
  <c r="D9" i="5"/>
  <c r="Q25" i="1" s="1"/>
  <c r="D10" i="5"/>
  <c r="Q26" i="1" s="1"/>
  <c r="D11" i="5"/>
  <c r="Q27" i="1" s="1"/>
  <c r="D12" i="5"/>
  <c r="J12" i="5" s="1"/>
  <c r="D13" i="5"/>
  <c r="D14" i="5"/>
  <c r="D15" i="5"/>
  <c r="J15" i="5" s="1"/>
  <c r="AG36" i="5"/>
  <c r="AG37" i="5"/>
  <c r="Q30" i="1" l="1"/>
  <c r="J14" i="5"/>
  <c r="Q29" i="1"/>
  <c r="J13" i="5"/>
  <c r="F32" i="4"/>
  <c r="G32" i="4" s="1"/>
  <c r="K2" i="6"/>
  <c r="F36" i="4"/>
  <c r="N61" i="5"/>
  <c r="Q28" i="1"/>
  <c r="AG35" i="5"/>
  <c r="Q31" i="1"/>
  <c r="F38" i="4"/>
  <c r="I8" i="4"/>
  <c r="F37" i="4"/>
  <c r="F33" i="4"/>
  <c r="F34" i="4"/>
  <c r="F35" i="4"/>
  <c r="A53" i="4"/>
  <c r="A52" i="4"/>
  <c r="K24" i="4"/>
  <c r="K21" i="4"/>
  <c r="B35" i="4"/>
  <c r="B34" i="4"/>
  <c r="B33" i="4"/>
  <c r="B32" i="4"/>
  <c r="A24" i="4"/>
  <c r="A23" i="4"/>
  <c r="A22" i="4"/>
  <c r="A21" i="4"/>
  <c r="K23" i="4"/>
  <c r="K25" i="4"/>
  <c r="K26" i="4"/>
  <c r="K20" i="4"/>
  <c r="K22" i="4"/>
  <c r="H7" i="3"/>
  <c r="F17" i="3"/>
  <c r="G17" i="3"/>
  <c r="E17" i="3"/>
  <c r="H8" i="3"/>
  <c r="H10" i="3"/>
  <c r="H11" i="3"/>
  <c r="H12" i="3"/>
  <c r="H13" i="3"/>
  <c r="H14" i="3"/>
  <c r="H15" i="3"/>
  <c r="B15" i="3"/>
  <c r="B16" i="3"/>
  <c r="K14" i="6" l="1"/>
  <c r="L14" i="6" s="1"/>
  <c r="A45" i="4"/>
  <c r="K3" i="6"/>
  <c r="I18" i="6"/>
  <c r="I2" i="6"/>
  <c r="H32" i="4"/>
  <c r="G33" i="4"/>
  <c r="K15" i="6" s="1"/>
  <c r="L15" i="6" s="1"/>
  <c r="I9" i="4"/>
  <c r="C20" i="3"/>
  <c r="C21" i="3" s="1"/>
  <c r="C25" i="6"/>
  <c r="D25" i="6" s="1"/>
  <c r="H17" i="3"/>
  <c r="C23" i="6"/>
  <c r="D23" i="6" s="1"/>
  <c r="C21" i="6"/>
  <c r="D21" i="6" s="1"/>
  <c r="C24" i="6"/>
  <c r="D24" i="6" s="1"/>
  <c r="C22" i="6"/>
  <c r="D22" i="6" s="1"/>
  <c r="C20" i="6"/>
  <c r="D20" i="6" s="1"/>
  <c r="C19" i="6" l="1"/>
  <c r="D19" i="6" s="1"/>
  <c r="M14" i="6"/>
  <c r="N14" i="6" s="1"/>
  <c r="M15" i="6"/>
  <c r="N15" i="6" s="1"/>
  <c r="J18" i="6"/>
  <c r="I3" i="6"/>
  <c r="H33" i="4"/>
  <c r="I11" i="3"/>
  <c r="I7" i="4"/>
  <c r="J30" i="4" s="1"/>
  <c r="G34" i="4"/>
  <c r="K16" i="6" s="1"/>
  <c r="L16" i="6" s="1"/>
  <c r="C23" i="5"/>
  <c r="A51" i="4"/>
  <c r="I16" i="3"/>
  <c r="I15" i="3"/>
  <c r="I10" i="3"/>
  <c r="I9" i="3"/>
  <c r="I12" i="3"/>
  <c r="I13" i="3"/>
  <c r="I14" i="3"/>
  <c r="I7" i="3"/>
  <c r="I8" i="3"/>
  <c r="C22" i="3"/>
  <c r="C17" i="5"/>
  <c r="N32" i="1" s="1"/>
  <c r="C18" i="5"/>
  <c r="A46" i="4"/>
  <c r="C20" i="5"/>
  <c r="A48" i="4"/>
  <c r="A50" i="4"/>
  <c r="C22" i="5"/>
  <c r="C19" i="5"/>
  <c r="A47" i="4"/>
  <c r="C21" i="5"/>
  <c r="A49" i="4"/>
  <c r="M16" i="6" l="1"/>
  <c r="N16" i="6" s="1"/>
  <c r="H34" i="4"/>
  <c r="AF41" i="5"/>
  <c r="N35" i="1"/>
  <c r="AF42" i="5"/>
  <c r="N36" i="1"/>
  <c r="AF44" i="5"/>
  <c r="N38" i="1"/>
  <c r="AF39" i="5"/>
  <c r="N33" i="1"/>
  <c r="AF40" i="5"/>
  <c r="N34" i="1"/>
  <c r="AF43" i="5"/>
  <c r="N37" i="1"/>
  <c r="G35" i="4"/>
  <c r="K17" i="6" s="1"/>
  <c r="I2" i="4"/>
  <c r="D17" i="5"/>
  <c r="D18" i="5" s="1"/>
  <c r="AF38" i="5"/>
  <c r="J7" i="3"/>
  <c r="K7" i="3" s="1"/>
  <c r="F3" i="5" s="1"/>
  <c r="L17" i="6" l="1"/>
  <c r="M17" i="6"/>
  <c r="Q33" i="1"/>
  <c r="J18" i="5"/>
  <c r="Q32" i="1"/>
  <c r="J17" i="5"/>
  <c r="H35" i="4"/>
  <c r="I35" i="4"/>
  <c r="E3" i="5"/>
  <c r="S19" i="1" s="1"/>
  <c r="T19" i="1"/>
  <c r="G3" i="5"/>
  <c r="I11" i="4"/>
  <c r="U14" i="1" s="1"/>
  <c r="G36" i="4"/>
  <c r="K18" i="6" s="1"/>
  <c r="L18" i="6" s="1"/>
  <c r="N18" i="6" s="1"/>
  <c r="M18" i="6" s="1"/>
  <c r="AG38" i="5"/>
  <c r="D19" i="5"/>
  <c r="AG39" i="5"/>
  <c r="H38" i="4"/>
  <c r="N17" i="6" l="1"/>
  <c r="I32" i="4"/>
  <c r="J32" i="4" s="1"/>
  <c r="I33" i="4"/>
  <c r="J33" i="4" s="1"/>
  <c r="I34" i="4"/>
  <c r="Q34" i="1"/>
  <c r="J19" i="5"/>
  <c r="H36" i="4"/>
  <c r="I36" i="4"/>
  <c r="G37" i="4"/>
  <c r="F16" i="5"/>
  <c r="D20" i="5"/>
  <c r="AG40" i="5"/>
  <c r="F4" i="5"/>
  <c r="J9" i="3"/>
  <c r="Q35" i="1" l="1"/>
  <c r="J20" i="5"/>
  <c r="H37" i="4"/>
  <c r="I37" i="4"/>
  <c r="E16" i="5"/>
  <c r="G38" i="4"/>
  <c r="G39" i="4" s="1"/>
  <c r="G40" i="4" s="1"/>
  <c r="E4" i="5"/>
  <c r="S20" i="1" s="1"/>
  <c r="T20" i="1"/>
  <c r="F13" i="5"/>
  <c r="I12" i="5" s="1"/>
  <c r="T28" i="1"/>
  <c r="F14" i="5"/>
  <c r="F15" i="5"/>
  <c r="D21" i="5"/>
  <c r="AG41" i="5"/>
  <c r="K9" i="3"/>
  <c r="F5" i="5" s="1"/>
  <c r="J10" i="3"/>
  <c r="F6" i="5" s="1"/>
  <c r="J34" i="4"/>
  <c r="Q36" i="1" l="1"/>
  <c r="J21" i="5"/>
  <c r="I14" i="5"/>
  <c r="E14" i="5"/>
  <c r="S30" i="1" s="1"/>
  <c r="T30" i="1"/>
  <c r="E13" i="5"/>
  <c r="S29" i="1" s="1"/>
  <c r="T29" i="1"/>
  <c r="E6" i="5"/>
  <c r="S22" i="1" s="1"/>
  <c r="T22" i="1"/>
  <c r="E5" i="5"/>
  <c r="S21" i="1" s="1"/>
  <c r="T21" i="1"/>
  <c r="T31" i="1"/>
  <c r="E15" i="5"/>
  <c r="M51" i="5"/>
  <c r="S28" i="1"/>
  <c r="S12" i="1"/>
  <c r="D22" i="5"/>
  <c r="AG42" i="5"/>
  <c r="J11" i="3"/>
  <c r="Q37" i="1" l="1"/>
  <c r="J22" i="5"/>
  <c r="AH34" i="5"/>
  <c r="O51" i="5"/>
  <c r="S31" i="1"/>
  <c r="D23" i="5"/>
  <c r="AG43" i="5"/>
  <c r="J35" i="4"/>
  <c r="J12" i="3"/>
  <c r="K11" i="3"/>
  <c r="F7" i="5" s="1"/>
  <c r="J36" i="4"/>
  <c r="Q38" i="1" l="1"/>
  <c r="J23" i="5"/>
  <c r="E7" i="5"/>
  <c r="S23" i="1" s="1"/>
  <c r="T23" i="1"/>
  <c r="AG44" i="5"/>
  <c r="N60" i="5"/>
  <c r="AH35" i="5"/>
  <c r="AH36" i="5"/>
  <c r="J13" i="3"/>
  <c r="K12" i="3"/>
  <c r="F8" i="5" s="1"/>
  <c r="J37" i="4"/>
  <c r="E8" i="5" l="1"/>
  <c r="S24" i="1" s="1"/>
  <c r="T24" i="1"/>
  <c r="AH37" i="5"/>
  <c r="J14" i="3"/>
  <c r="K13" i="3"/>
  <c r="F9" i="5" s="1"/>
  <c r="T25" i="1" s="1"/>
  <c r="J38" i="4"/>
  <c r="E9" i="5" l="1"/>
  <c r="S25" i="1" s="1"/>
  <c r="K12" i="1"/>
  <c r="N51" i="5"/>
  <c r="R51" i="5"/>
  <c r="S51" i="5" s="1"/>
  <c r="P54" i="5" s="1"/>
  <c r="Z51" i="5"/>
  <c r="W51" i="5"/>
  <c r="U51" i="5"/>
  <c r="AA51" i="5" s="1"/>
  <c r="X54" i="5" s="1"/>
  <c r="J15" i="3"/>
  <c r="K14" i="3"/>
  <c r="F10" i="5" s="1"/>
  <c r="E10" i="5" l="1"/>
  <c r="S26" i="1" s="1"/>
  <c r="T26" i="1"/>
  <c r="J16" i="3"/>
  <c r="K16" i="3" s="1"/>
  <c r="K15" i="3"/>
  <c r="F11" i="5" s="1"/>
  <c r="T27" i="1" s="1"/>
  <c r="E11" i="5" l="1"/>
  <c r="S27" i="1" s="1"/>
  <c r="R12" i="1"/>
  <c r="B48" i="4"/>
  <c r="C48" i="4" s="1"/>
  <c r="B45" i="4"/>
  <c r="C45" i="4" s="1"/>
  <c r="B46" i="4"/>
  <c r="C46" i="4" s="1"/>
  <c r="I22" i="4"/>
  <c r="B51" i="4"/>
  <c r="C51" i="4" s="1"/>
  <c r="I25" i="4"/>
  <c r="I3" i="4"/>
  <c r="I6" i="4" s="1"/>
  <c r="G17" i="5" s="1"/>
  <c r="B49" i="4"/>
  <c r="C49" i="4" s="1"/>
  <c r="G24" i="6" l="1"/>
  <c r="M24" i="6" s="1"/>
  <c r="N24" i="6" s="1"/>
  <c r="G21" i="6"/>
  <c r="M21" i="6" s="1"/>
  <c r="N21" i="6" s="1"/>
  <c r="B47" i="4"/>
  <c r="C47" i="4" s="1"/>
  <c r="F19" i="5" s="1"/>
  <c r="I26" i="4"/>
  <c r="I23" i="4"/>
  <c r="D46" i="4"/>
  <c r="F18" i="5"/>
  <c r="D49" i="4"/>
  <c r="F21" i="5"/>
  <c r="F17" i="5"/>
  <c r="D45" i="4"/>
  <c r="D48" i="4"/>
  <c r="F20" i="5"/>
  <c r="D51" i="4"/>
  <c r="F23" i="5"/>
  <c r="I21" i="4"/>
  <c r="B50" i="4"/>
  <c r="C50" i="4" s="1"/>
  <c r="I24" i="4"/>
  <c r="I20" i="4"/>
  <c r="G22" i="6" l="1"/>
  <c r="M22" i="6" s="1"/>
  <c r="N22" i="6" s="1"/>
  <c r="G23" i="6"/>
  <c r="M23" i="6" s="1"/>
  <c r="N23" i="6" s="1"/>
  <c r="H21" i="6"/>
  <c r="G25" i="6"/>
  <c r="M25" i="6" s="1"/>
  <c r="N25" i="6" s="1"/>
  <c r="H24" i="6"/>
  <c r="G20" i="6"/>
  <c r="M20" i="6" s="1"/>
  <c r="N20" i="6" s="1"/>
  <c r="G19" i="6"/>
  <c r="M19" i="6" s="1"/>
  <c r="D47" i="4"/>
  <c r="D50" i="4"/>
  <c r="F22" i="5"/>
  <c r="T38" i="1"/>
  <c r="E23" i="5"/>
  <c r="E18" i="5"/>
  <c r="T33" i="1"/>
  <c r="E17" i="5"/>
  <c r="T32" i="1"/>
  <c r="T36" i="1"/>
  <c r="E21" i="5"/>
  <c r="E19" i="5"/>
  <c r="T34" i="1"/>
  <c r="E20" i="5"/>
  <c r="T35" i="1"/>
  <c r="N19" i="6" l="1"/>
  <c r="H19" i="6"/>
  <c r="H25" i="6"/>
  <c r="H23" i="6"/>
  <c r="H22" i="6"/>
  <c r="H20" i="6"/>
  <c r="D54" i="4"/>
  <c r="S32" i="1"/>
  <c r="AH38" i="5"/>
  <c r="S35" i="1"/>
  <c r="AH41" i="5"/>
  <c r="AH39" i="5"/>
  <c r="S33" i="1"/>
  <c r="S34" i="1"/>
  <c r="AH40" i="5"/>
  <c r="S36" i="1"/>
  <c r="AH42" i="5"/>
  <c r="E22" i="5"/>
  <c r="I17" i="5"/>
  <c r="T37" i="1"/>
  <c r="AH44" i="5"/>
  <c r="S38" i="1"/>
  <c r="I23" i="5" l="1"/>
  <c r="U12" i="1" s="1"/>
  <c r="T12" i="1"/>
  <c r="AH43" i="5"/>
  <c r="S37" i="1"/>
  <c r="J12" i="1" l="1"/>
</calcChain>
</file>

<file path=xl/comments1.xml><?xml version="1.0" encoding="utf-8"?>
<comments xmlns="http://schemas.openxmlformats.org/spreadsheetml/2006/main">
  <authors>
    <author>Steven Reed</author>
  </authors>
  <commentList>
    <comment ref="C2" authorId="0">
      <text>
        <r>
          <rPr>
            <sz val="9"/>
            <color indexed="81"/>
            <rFont val="Tahoma"/>
            <family val="2"/>
          </rPr>
          <t>8.1 (ENTIRE SAMPLE INCLUDING PORTION RETAINED ON #10)</t>
        </r>
      </text>
    </comment>
    <comment ref="C3" authorId="0">
      <text>
        <r>
          <rPr>
            <sz val="9"/>
            <color indexed="81"/>
            <rFont val="Tahoma"/>
            <family val="2"/>
          </rPr>
          <t>8.1 (ENTIRE SAMPLE INCLUDING PORTION RETAINED ON #10)</t>
        </r>
      </text>
    </comment>
    <comment ref="B4" authorId="0">
      <text>
        <r>
          <rPr>
            <b/>
            <sz val="9"/>
            <color indexed="81"/>
            <rFont val="Tahoma"/>
            <family val="2"/>
          </rPr>
          <t>Steven Reed:</t>
        </r>
        <r>
          <rPr>
            <sz val="9"/>
            <color indexed="81"/>
            <rFont val="Tahoma"/>
            <family val="2"/>
          </rPr>
          <t xml:space="preserve">
Leave as 1, See variable G1 in section 14.3
</t>
        </r>
      </text>
    </comment>
    <comment ref="C6" authorId="0">
      <text>
        <r>
          <rPr>
            <sz val="9"/>
            <color indexed="81"/>
            <rFont val="Tahoma"/>
            <family val="2"/>
          </rPr>
          <t xml:space="preserve">14.2 - Calculate the mass of a total sample represented by the mass of soil used in the hydrometer test, by dividing the </t>
        </r>
        <r>
          <rPr>
            <b/>
            <sz val="9"/>
            <color indexed="81"/>
            <rFont val="Tahoma"/>
            <family val="2"/>
          </rPr>
          <t>oven-dry mass used</t>
        </r>
        <r>
          <rPr>
            <sz val="9"/>
            <color indexed="81"/>
            <rFont val="Tahoma"/>
            <family val="2"/>
          </rPr>
          <t xml:space="preserve"> by the </t>
        </r>
        <r>
          <rPr>
            <b/>
            <sz val="9"/>
            <color indexed="81"/>
            <rFont val="Tahoma"/>
            <family val="2"/>
          </rPr>
          <t>percentage passing the No. 10</t>
        </r>
        <r>
          <rPr>
            <sz val="9"/>
            <color indexed="81"/>
            <rFont val="Tahoma"/>
            <family val="2"/>
          </rPr>
          <t xml:space="preserve"> (2.00-mm) sieve, and multiplying the result by 100. This value is the weight W in the equation for percentage remaining in
suspension.</t>
        </r>
      </text>
    </comment>
  </commentList>
</comments>
</file>

<file path=xl/sharedStrings.xml><?xml version="1.0" encoding="utf-8"?>
<sst xmlns="http://schemas.openxmlformats.org/spreadsheetml/2006/main" count="342" uniqueCount="245">
  <si>
    <t>Client:</t>
  </si>
  <si>
    <t>Date of Test:</t>
  </si>
  <si>
    <t>Job No.:</t>
  </si>
  <si>
    <t>Daily Test No.:</t>
  </si>
  <si>
    <t>Wt. of Sample:</t>
  </si>
  <si>
    <t>g</t>
  </si>
  <si>
    <t>3/8"</t>
  </si>
  <si>
    <t>Hydrometer Test</t>
  </si>
  <si>
    <t>ASTM D422</t>
  </si>
  <si>
    <t>PARTICLE SIZE ANALYSIS OF SOILS</t>
  </si>
  <si>
    <t>1 1/2"</t>
  </si>
  <si>
    <t>3"</t>
  </si>
  <si>
    <t>3/4"</t>
  </si>
  <si>
    <t>Hydrometer Readings</t>
  </si>
  <si>
    <t>Effective Depth, L (cm)</t>
  </si>
  <si>
    <t>Material Size:</t>
  </si>
  <si>
    <t>Description of Sand &amp; Gravel Particles</t>
  </si>
  <si>
    <t>Shape:</t>
  </si>
  <si>
    <t>Difficulty Dispersing?</t>
  </si>
  <si>
    <t>No</t>
  </si>
  <si>
    <t>Hard &amp; Durable</t>
  </si>
  <si>
    <t>Angular</t>
  </si>
  <si>
    <t>Sodium Hexametaphosphate</t>
  </si>
  <si>
    <t>Apparatus A</t>
  </si>
  <si>
    <t>Sample Source:</t>
  </si>
  <si>
    <t>Project:</t>
  </si>
  <si>
    <t>Sample #:</t>
  </si>
  <si>
    <t>Tested By:</t>
  </si>
  <si>
    <t>Sample Date:</t>
  </si>
  <si>
    <t>Sampled By:</t>
  </si>
  <si>
    <t>Material Use:</t>
  </si>
  <si>
    <t>Hardness:</t>
  </si>
  <si>
    <t>Dispersing Agent:</t>
  </si>
  <si>
    <t>Dispersing Device:</t>
  </si>
  <si>
    <t>Sieve</t>
  </si>
  <si>
    <t>Sieve (mm)</t>
  </si>
  <si>
    <t>Sieve (g)</t>
  </si>
  <si>
    <t>Sample 1 (g)</t>
  </si>
  <si>
    <t>Sample 2 (g)</t>
  </si>
  <si>
    <t>Sample 3 (g)</t>
  </si>
  <si>
    <t>1"</t>
  </si>
  <si>
    <t>7/8"</t>
  </si>
  <si>
    <t>5/8"</t>
  </si>
  <si>
    <t>.530"</t>
  </si>
  <si>
    <t>1/2"</t>
  </si>
  <si>
    <t>7/16"</t>
  </si>
  <si>
    <t>5/16"</t>
  </si>
  <si>
    <t>.265"</t>
  </si>
  <si>
    <t>1/4"</t>
  </si>
  <si>
    <t>No. 4</t>
  </si>
  <si>
    <t>No. 5</t>
  </si>
  <si>
    <t>No. 6</t>
  </si>
  <si>
    <t>No. 7</t>
  </si>
  <si>
    <t>No. 8</t>
  </si>
  <si>
    <t>No. 10</t>
  </si>
  <si>
    <t>No. 12</t>
  </si>
  <si>
    <t>No. 14</t>
  </si>
  <si>
    <t>No. 16</t>
  </si>
  <si>
    <t>No. 18</t>
  </si>
  <si>
    <t>No. 20</t>
  </si>
  <si>
    <t>No. 25</t>
  </si>
  <si>
    <t>No. 30</t>
  </si>
  <si>
    <t>No. 35</t>
  </si>
  <si>
    <t>No. 40</t>
  </si>
  <si>
    <t>No. 45</t>
  </si>
  <si>
    <t>No. 50</t>
  </si>
  <si>
    <t>No. 60</t>
  </si>
  <si>
    <t>No. 70</t>
  </si>
  <si>
    <t>No. 80</t>
  </si>
  <si>
    <t>No. 100</t>
  </si>
  <si>
    <t>No. 120</t>
  </si>
  <si>
    <t>No. 140</t>
  </si>
  <si>
    <t>No. 170</t>
  </si>
  <si>
    <t>No. 200</t>
  </si>
  <si>
    <t>No. 230</t>
  </si>
  <si>
    <t>No. 270</t>
  </si>
  <si>
    <t>No. 325</t>
  </si>
  <si>
    <t>No. 400</t>
  </si>
  <si>
    <t>2"</t>
  </si>
  <si>
    <t>2 1/2"</t>
  </si>
  <si>
    <t>Pan</t>
  </si>
  <si>
    <t>Total Retained (g)</t>
  </si>
  <si>
    <t>TOTAL</t>
  </si>
  <si>
    <t>Retained on No. 10</t>
  </si>
  <si>
    <t>Passing No. 10</t>
  </si>
  <si>
    <t>Sample 4 (g)</t>
  </si>
  <si>
    <t>Percent Passing No. 10</t>
  </si>
  <si>
    <t>Max Particle Size (in)</t>
  </si>
  <si>
    <t>Minimum Amount Retained on No. 10 (g)</t>
  </si>
  <si>
    <t>Nominal Large Size (in)</t>
  </si>
  <si>
    <t>Minimum Mass of Portion Retained on No. 10</t>
  </si>
  <si>
    <t>Hydrometer Type</t>
  </si>
  <si>
    <t>151H</t>
  </si>
  <si>
    <t>Specific Gravity of Soil Particles</t>
  </si>
  <si>
    <t>Temperature,°C</t>
  </si>
  <si>
    <t>Equation (4)</t>
  </si>
  <si>
    <t>Table 3</t>
  </si>
  <si>
    <t>Hydrometer 151H</t>
  </si>
  <si>
    <t>Hydrometer 152H</t>
  </si>
  <si>
    <t>Actual Hydrometer reading</t>
  </si>
  <si>
    <t>Correction Factor K</t>
  </si>
  <si>
    <t>Effective Length</t>
  </si>
  <si>
    <t>Mass of Oven Dry Sample</t>
  </si>
  <si>
    <t>Hygroscopic Moisture Correction Factor</t>
  </si>
  <si>
    <t>Mass passing #10</t>
  </si>
  <si>
    <t>Weight, W</t>
  </si>
  <si>
    <t>Soil Specific Gravity, G</t>
  </si>
  <si>
    <t>HYDROMETER READING</t>
  </si>
  <si>
    <t>TEMPERATURE (°F)</t>
  </si>
  <si>
    <t>Composite Correction, R</t>
  </si>
  <si>
    <t>Moisture Correction</t>
  </si>
  <si>
    <t>Reading 1</t>
  </si>
  <si>
    <t>Reading 2</t>
  </si>
  <si>
    <t>Hydrometer Reading</t>
  </si>
  <si>
    <t>Temperature (°F)</t>
  </si>
  <si>
    <t>Basic Information</t>
  </si>
  <si>
    <r>
      <t>Specific Gravity of Liquid, G</t>
    </r>
    <r>
      <rPr>
        <vertAlign val="subscript"/>
        <sz val="10"/>
        <rFont val="Arial"/>
        <family val="2"/>
      </rPr>
      <t>1</t>
    </r>
  </si>
  <si>
    <t xml:space="preserve">Correction Factor = </t>
  </si>
  <si>
    <t>(Temp)   +</t>
  </si>
  <si>
    <t>COMPOSITE CORRECTION READING</t>
  </si>
  <si>
    <r>
      <t>Composite Correction</t>
    </r>
    <r>
      <rPr>
        <sz val="10"/>
        <rFont val="Arial"/>
        <family val="2"/>
      </rPr>
      <t xml:space="preserve"> (See Section 7.2)</t>
    </r>
  </si>
  <si>
    <t>CORRECTED HYDROMETER READING, [R]</t>
  </si>
  <si>
    <t>Extrapolated Information, Not from ASTM Table</t>
  </si>
  <si>
    <t>Table 2</t>
  </si>
  <si>
    <t>Equation (1)</t>
  </si>
  <si>
    <t>TEMPERATURE CONSTANT, [K]</t>
  </si>
  <si>
    <t>TIME INTERVALS (MIN) [T]</t>
  </si>
  <si>
    <t>DIAMETER OF PARTICLES (mm), [D]</t>
  </si>
  <si>
    <t>EFFECTIVE DEPTH (cm), [L]</t>
  </si>
  <si>
    <t>TIME FOR TEST (hh:mm)</t>
  </si>
  <si>
    <t>SIZE (mm)</t>
  </si>
  <si>
    <t>Passing #200</t>
  </si>
  <si>
    <t>Weight Retained (g)</t>
  </si>
  <si>
    <t>Sieve+Soil (g)</t>
  </si>
  <si>
    <r>
      <t xml:space="preserve">Sieves to use for fine fraction retained on #200 sieve (after oven drying) </t>
    </r>
    <r>
      <rPr>
        <sz val="10"/>
        <rFont val="Arial"/>
        <family val="2"/>
      </rPr>
      <t>See Section 11</t>
    </r>
  </si>
  <si>
    <t>Percent Retained</t>
  </si>
  <si>
    <t>Percent Passing</t>
  </si>
  <si>
    <t>Cumulative Percent Retained</t>
  </si>
  <si>
    <t>Percent of fine aggregate passing #200</t>
  </si>
  <si>
    <t>Mass of fine aggregate</t>
  </si>
  <si>
    <t>Mass of fine aggregate passing #200</t>
  </si>
  <si>
    <t>Percent of total aggregate between #10 &amp; #200</t>
  </si>
  <si>
    <t>TOTAL AGGREGATE MASS</t>
  </si>
  <si>
    <r>
      <t>Mass of fine aggregate retained on #200</t>
    </r>
    <r>
      <rPr>
        <vertAlign val="superscript"/>
        <sz val="10"/>
        <rFont val="Arial"/>
        <family val="2"/>
      </rPr>
      <t>2</t>
    </r>
  </si>
  <si>
    <t>Note 2: Oven dried mass of fine aggregate to be used for weight percentages</t>
  </si>
  <si>
    <t>Note 1: Air dried sample to be used in hydrometer test</t>
  </si>
  <si>
    <t>Weight Percentages</t>
  </si>
  <si>
    <t>Mass Passing (g)</t>
  </si>
  <si>
    <t>Coarse Aggregate</t>
  </si>
  <si>
    <t>Fine Aggregate</t>
  </si>
  <si>
    <t>Percent Retained No. 10</t>
  </si>
  <si>
    <t>Sieve Size (mm)</t>
  </si>
  <si>
    <t>Hydrometer Analysis Results</t>
  </si>
  <si>
    <t>Mass of fine used in hydrometer test</t>
  </si>
  <si>
    <t>Percent of fine aggregate between #10 &amp; #200</t>
  </si>
  <si>
    <t>Percent of total aggregate passing #200</t>
  </si>
  <si>
    <t>Cumulative Percent Retained by total mass of test</t>
  </si>
  <si>
    <t>Percent Passing by total mass of test</t>
  </si>
  <si>
    <t>Coarse Sand</t>
  </si>
  <si>
    <t>Medium Sand</t>
  </si>
  <si>
    <t>Fine Sand</t>
  </si>
  <si>
    <t>Silt</t>
  </si>
  <si>
    <t>Clay</t>
  </si>
  <si>
    <t>Gravel</t>
  </si>
  <si>
    <t>Category by Retained %</t>
  </si>
  <si>
    <t>Retained #200</t>
  </si>
  <si>
    <t>PORTION PASSING #40</t>
  </si>
  <si>
    <t>Size (mm)</t>
  </si>
  <si>
    <t>% Passing</t>
  </si>
  <si>
    <t>USCS Classification</t>
  </si>
  <si>
    <t>USCS Classification for Portion Passing #40</t>
  </si>
  <si>
    <r>
      <t>D</t>
    </r>
    <r>
      <rPr>
        <vertAlign val="subscript"/>
        <sz val="10"/>
        <rFont val="Arial"/>
        <family val="2"/>
      </rPr>
      <t>60</t>
    </r>
  </si>
  <si>
    <t>mm</t>
  </si>
  <si>
    <t>PI</t>
  </si>
  <si>
    <r>
      <t>D</t>
    </r>
    <r>
      <rPr>
        <vertAlign val="subscript"/>
        <sz val="10"/>
        <rFont val="Arial"/>
        <family val="2"/>
      </rPr>
      <t>30</t>
    </r>
  </si>
  <si>
    <t>LL</t>
  </si>
  <si>
    <r>
      <t>D</t>
    </r>
    <r>
      <rPr>
        <vertAlign val="subscript"/>
        <sz val="10"/>
        <rFont val="Arial"/>
        <family val="2"/>
      </rPr>
      <t>10</t>
    </r>
  </si>
  <si>
    <t>Cu</t>
  </si>
  <si>
    <t>Cc</t>
  </si>
  <si>
    <t>retained on 200</t>
  </si>
  <si>
    <t>coarse fraction on No. 4</t>
  </si>
  <si>
    <t>Fines</t>
  </si>
  <si>
    <t>Clean Gravel</t>
  </si>
  <si>
    <t>Gravels w/ fines</t>
  </si>
  <si>
    <t>% sand</t>
  </si>
  <si>
    <t>Clean Sands</t>
  </si>
  <si>
    <t>Sands w/ fines</t>
  </si>
  <si>
    <t>GC</t>
  </si>
  <si>
    <t>CL</t>
  </si>
  <si>
    <t>Circle C Marketing</t>
  </si>
  <si>
    <t>3615-01</t>
  </si>
  <si>
    <t>B. McKinney</t>
  </si>
  <si>
    <t>Fine Particles</t>
  </si>
  <si>
    <t>Mass of Air Dry Sample</t>
  </si>
  <si>
    <t>Percent coarse aggregate (retained #10)</t>
  </si>
  <si>
    <t>percentage used in this portion of test</t>
  </si>
  <si>
    <t>x</t>
  </si>
  <si>
    <t>y</t>
  </si>
  <si>
    <t xml:space="preserve">Coarse Sand </t>
  </si>
  <si>
    <t>+3"</t>
  </si>
  <si>
    <t>Percent Passing #200</t>
  </si>
  <si>
    <t>85g</t>
  </si>
  <si>
    <t>Page 1/2</t>
  </si>
  <si>
    <t>Page 2/2</t>
  </si>
  <si>
    <t>Potato Wash</t>
  </si>
  <si>
    <t>1400-A WPCF Permit Renewal</t>
  </si>
  <si>
    <t>Initial Water Quantity</t>
  </si>
  <si>
    <t>gallons</t>
  </si>
  <si>
    <t>ft3</t>
  </si>
  <si>
    <t>Water Density</t>
  </si>
  <si>
    <t>lb/ft3</t>
  </si>
  <si>
    <t>Water Weight</t>
  </si>
  <si>
    <t>lb</t>
  </si>
  <si>
    <t>Soil Weight</t>
  </si>
  <si>
    <t>Organics Weight</t>
  </si>
  <si>
    <t>Total Solids Weight</t>
  </si>
  <si>
    <t>Concentration Soils</t>
  </si>
  <si>
    <t>Concentration Organics</t>
  </si>
  <si>
    <t>Concentration Total Solids</t>
  </si>
  <si>
    <t>Mass Concentration (soils):</t>
  </si>
  <si>
    <t>Mass Concentration (organics):</t>
  </si>
  <si>
    <t>Mass Concentration (total solids):</t>
  </si>
  <si>
    <t>kg</t>
  </si>
  <si>
    <t>Pond Outlet</t>
  </si>
  <si>
    <t>19-22</t>
  </si>
  <si>
    <t>S. Reed</t>
  </si>
  <si>
    <t>Fine Gravel</t>
  </si>
  <si>
    <t>Boulders</t>
  </si>
  <si>
    <t>Very Coarse Gravel</t>
  </si>
  <si>
    <t>Coarse Gravel</t>
  </si>
  <si>
    <t>Medium Gravel</t>
  </si>
  <si>
    <t>Name</t>
  </si>
  <si>
    <t>Min (mm)</t>
  </si>
  <si>
    <t>Max (mm)</t>
  </si>
  <si>
    <t>Sieve Analysis</t>
  </si>
  <si>
    <t>Washing</t>
  </si>
  <si>
    <t>2nd Sieve Analysis</t>
  </si>
  <si>
    <t>Hydrometer</t>
  </si>
  <si>
    <t>Mass (g):</t>
  </si>
  <si>
    <t>Mass Retained</t>
  </si>
  <si>
    <t>Percent of Mass:</t>
  </si>
  <si>
    <t>PERCENTAGE IN SUSPENSION (PASSING), [P]</t>
  </si>
  <si>
    <t>PERCENT DROPPED FROM SUSPENSION (RETAINED)</t>
  </si>
  <si>
    <t>SPECIFIC GRAVITY OF LIQUID, [G1]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</si>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</sst>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%"/>
    <numFmt numFmtId="165" formatCode="0.0"/>
    <numFmt numFmtId="166" formatCode="0.000"/>
    <numFmt numFmtId="167" formatCode="0.0000"/>
    <numFmt numFmtId="168" formatCode="0.00000"/>
    <numFmt numFmtId="169" formatCode="0.000000"/>
    <numFmt numFmtId="170" formatCode="[$-F400]h:mm:ss\ AM/PM"/>
    <numFmt numFmtId="171" formatCode="0.000%"/>
  </numFmts>
  <fonts count="2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u/>
      <sz val="14"/>
      <name val="Times New Roman"/>
      <family val="1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vertAlign val="superscript"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vertAlign val="subscript"/>
      <sz val="10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2"/>
      <name val="Calibri"/>
      <family val="2"/>
      <scheme val="minor"/>
    </font>
    <font>
      <sz val="10"/>
      <color theme="0"/>
      <name val="Arial"/>
      <family val="2"/>
    </font>
    <font>
      <sz val="10"/>
      <color rgb="FF3F3F76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u/>
      <sz val="11"/>
      <color rgb="FF3F3F76"/>
      <name val="Calibri"/>
      <family val="2"/>
      <scheme val="minor"/>
    </font>
    <font>
      <u/>
      <sz val="10"/>
      <name val="Arial"/>
      <family val="2"/>
    </font>
    <font>
      <sz val="11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8" fillId="0" borderId="0" applyNumberFormat="0" applyFill="0" applyBorder="0" applyAlignment="0" applyProtection="0"/>
    <xf numFmtId="0" fontId="19" fillId="2" borderId="37" applyNumberFormat="0" applyAlignment="0" applyProtection="0"/>
    <xf numFmtId="9" fontId="1" fillId="0" borderId="0" applyFont="0" applyFill="0" applyBorder="0" applyAlignment="0" applyProtection="0"/>
    <xf numFmtId="0" fontId="27" fillId="6" borderId="0" applyNumberFormat="0" applyBorder="0" applyAlignment="0" applyProtection="0"/>
  </cellStyleXfs>
  <cellXfs count="47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Alignment="1">
      <alignment horizontal="centerContinuous"/>
    </xf>
    <xf numFmtId="0" fontId="4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Border="1"/>
    <xf numFmtId="0" fontId="10" fillId="0" borderId="0" xfId="0" applyFont="1" applyFill="1" applyBorder="1"/>
    <xf numFmtId="164" fontId="10" fillId="0" borderId="0" xfId="0" applyNumberFormat="1" applyFont="1" applyBorder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6" fontId="0" fillId="0" borderId="10" xfId="0" applyNumberForma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68" fontId="0" fillId="0" borderId="10" xfId="0" applyNumberFormat="1" applyBorder="1" applyAlignment="1">
      <alignment horizontal="center" vertical="center"/>
    </xf>
    <xf numFmtId="167" fontId="0" fillId="0" borderId="10" xfId="3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0" applyFont="1"/>
    <xf numFmtId="12" fontId="10" fillId="0" borderId="0" xfId="0" applyNumberFormat="1" applyFont="1" applyBorder="1" applyAlignment="1">
      <alignment horizontal="center"/>
    </xf>
    <xf numFmtId="12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12" fontId="6" fillId="0" borderId="0" xfId="0" applyNumberFormat="1" applyFont="1"/>
    <xf numFmtId="167" fontId="10" fillId="0" borderId="0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0" fillId="0" borderId="0" xfId="3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 wrapText="1"/>
    </xf>
    <xf numFmtId="0" fontId="12" fillId="0" borderId="17" xfId="0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2" xfId="3" applyNumberFormat="1" applyFont="1" applyBorder="1" applyAlignment="1">
      <alignment horizontal="center"/>
    </xf>
    <xf numFmtId="16" fontId="0" fillId="0" borderId="0" xfId="0" applyNumberFormat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15" xfId="0" applyBorder="1"/>
    <xf numFmtId="0" fontId="0" fillId="0" borderId="17" xfId="0" applyBorder="1"/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8" xfId="0" applyBorder="1" applyAlignment="1">
      <alignment horizontal="center"/>
    </xf>
    <xf numFmtId="0" fontId="18" fillId="0" borderId="0" xfId="1"/>
    <xf numFmtId="12" fontId="0" fillId="0" borderId="0" xfId="0" applyNumberFormat="1"/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2" fontId="0" fillId="0" borderId="8" xfId="0" applyNumberFormat="1" applyBorder="1" applyAlignment="1">
      <alignment horizontal="center"/>
    </xf>
    <xf numFmtId="12" fontId="0" fillId="0" borderId="9" xfId="0" applyNumberFormat="1" applyBorder="1" applyAlignment="1">
      <alignment horizontal="center"/>
    </xf>
    <xf numFmtId="0" fontId="6" fillId="0" borderId="8" xfId="0" applyFont="1" applyBorder="1"/>
    <xf numFmtId="0" fontId="0" fillId="0" borderId="22" xfId="0" applyBorder="1"/>
    <xf numFmtId="0" fontId="0" fillId="0" borderId="8" xfId="0" applyBorder="1"/>
    <xf numFmtId="0" fontId="6" fillId="0" borderId="9" xfId="0" applyFont="1" applyBorder="1"/>
    <xf numFmtId="0" fontId="0" fillId="0" borderId="18" xfId="0" applyBorder="1"/>
    <xf numFmtId="0" fontId="8" fillId="0" borderId="8" xfId="0" applyNumberFormat="1" applyFont="1" applyBorder="1" applyAlignment="1">
      <alignment horizontal="center" vertical="center"/>
    </xf>
    <xf numFmtId="0" fontId="6" fillId="0" borderId="0" xfId="0" applyFont="1" applyFill="1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26" xfId="0" applyBorder="1"/>
    <xf numFmtId="0" fontId="0" fillId="0" borderId="27" xfId="0" applyBorder="1"/>
    <xf numFmtId="0" fontId="6" fillId="0" borderId="15" xfId="0" applyFont="1" applyBorder="1"/>
    <xf numFmtId="166" fontId="0" fillId="0" borderId="11" xfId="0" applyNumberFormat="1" applyBorder="1" applyAlignment="1">
      <alignment horizontal="center"/>
    </xf>
    <xf numFmtId="0" fontId="19" fillId="2" borderId="11" xfId="2" applyBorder="1" applyAlignment="1">
      <alignment horizontal="center"/>
    </xf>
    <xf numFmtId="0" fontId="6" fillId="0" borderId="22" xfId="0" applyFont="1" applyBorder="1"/>
    <xf numFmtId="0" fontId="6" fillId="0" borderId="18" xfId="0" applyFont="1" applyFill="1" applyBorder="1"/>
    <xf numFmtId="0" fontId="6" fillId="0" borderId="9" xfId="0" applyFont="1" applyFill="1" applyBorder="1"/>
    <xf numFmtId="0" fontId="6" fillId="0" borderId="8" xfId="0" applyFont="1" applyFill="1" applyBorder="1"/>
    <xf numFmtId="0" fontId="6" fillId="0" borderId="8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0" fontId="19" fillId="2" borderId="12" xfId="2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169" fontId="0" fillId="3" borderId="32" xfId="0" applyNumberFormat="1" applyFill="1" applyBorder="1" applyAlignment="1">
      <alignment horizontal="right"/>
    </xf>
    <xf numFmtId="0" fontId="0" fillId="3" borderId="32" xfId="0" applyFill="1" applyBorder="1" applyAlignment="1">
      <alignment horizontal="left"/>
    </xf>
    <xf numFmtId="167" fontId="0" fillId="0" borderId="10" xfId="0" applyNumberFormat="1" applyBorder="1" applyAlignment="1">
      <alignment horizontal="center" vertical="center"/>
    </xf>
    <xf numFmtId="9" fontId="0" fillId="0" borderId="10" xfId="3" applyFont="1" applyBorder="1" applyAlignment="1">
      <alignment horizontal="center" vertical="center"/>
    </xf>
    <xf numFmtId="0" fontId="0" fillId="4" borderId="8" xfId="0" applyFill="1" applyBorder="1"/>
    <xf numFmtId="0" fontId="0" fillId="4" borderId="21" xfId="0" applyFill="1" applyBorder="1"/>
    <xf numFmtId="0" fontId="0" fillId="4" borderId="9" xfId="0" applyFill="1" applyBorder="1"/>
    <xf numFmtId="0" fontId="0" fillId="4" borderId="25" xfId="0" applyFill="1" applyBorder="1"/>
    <xf numFmtId="0" fontId="6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5" fontId="19" fillId="2" borderId="11" xfId="2" applyNumberFormat="1" applyBorder="1" applyAlignment="1">
      <alignment horizontal="center" vertical="center"/>
    </xf>
    <xf numFmtId="170" fontId="22" fillId="2" borderId="37" xfId="2" applyNumberFormat="1" applyFont="1" applyAlignment="1">
      <alignment horizontal="center" vertical="center"/>
    </xf>
    <xf numFmtId="170" fontId="6" fillId="0" borderId="8" xfId="0" applyNumberFormat="1" applyFont="1" applyBorder="1" applyAlignment="1">
      <alignment horizontal="center" vertical="center"/>
    </xf>
    <xf numFmtId="0" fontId="23" fillId="0" borderId="0" xfId="0" applyFont="1"/>
    <xf numFmtId="0" fontId="0" fillId="0" borderId="40" xfId="0" applyBorder="1"/>
    <xf numFmtId="9" fontId="0" fillId="0" borderId="11" xfId="3" applyFon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42" xfId="0" applyBorder="1"/>
    <xf numFmtId="0" fontId="19" fillId="2" borderId="37" xfId="2" applyAlignment="1">
      <alignment horizontal="center"/>
    </xf>
    <xf numFmtId="0" fontId="22" fillId="2" borderId="17" xfId="2" applyFont="1" applyBorder="1" applyAlignment="1">
      <alignment horizontal="center"/>
    </xf>
    <xf numFmtId="0" fontId="22" fillId="2" borderId="22" xfId="2" applyFont="1" applyBorder="1" applyAlignment="1">
      <alignment horizontal="center"/>
    </xf>
    <xf numFmtId="167" fontId="22" fillId="2" borderId="18" xfId="2" applyNumberFormat="1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1" xfId="3" applyNumberFormat="1" applyFon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2" fontId="0" fillId="0" borderId="22" xfId="3" applyNumberFormat="1" applyFont="1" applyBorder="1" applyAlignment="1">
      <alignment horizontal="center"/>
    </xf>
    <xf numFmtId="9" fontId="0" fillId="0" borderId="22" xfId="3" applyFont="1" applyBorder="1" applyAlignment="1">
      <alignment horizontal="center"/>
    </xf>
    <xf numFmtId="0" fontId="0" fillId="0" borderId="39" xfId="0" applyBorder="1" applyAlignment="1">
      <alignment horizontal="center"/>
    </xf>
    <xf numFmtId="167" fontId="0" fillId="4" borderId="11" xfId="3" applyNumberFormat="1" applyFont="1" applyFill="1" applyBorder="1" applyAlignment="1">
      <alignment horizontal="center" vertical="center"/>
    </xf>
    <xf numFmtId="167" fontId="0" fillId="4" borderId="12" xfId="3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22" xfId="0" applyFont="1" applyBorder="1"/>
    <xf numFmtId="2" fontId="22" fillId="2" borderId="11" xfId="2" applyNumberFormat="1" applyFont="1" applyBorder="1" applyAlignment="1">
      <alignment horizontal="center"/>
    </xf>
    <xf numFmtId="0" fontId="1" fillId="0" borderId="8" xfId="0" applyFont="1" applyBorder="1" applyAlignment="1">
      <alignment horizontal="right" vertical="top"/>
    </xf>
    <xf numFmtId="164" fontId="1" fillId="0" borderId="11" xfId="3" applyNumberFormat="1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0" fontId="0" fillId="0" borderId="11" xfId="3" applyNumberFormat="1" applyFont="1" applyBorder="1" applyAlignment="1">
      <alignment horizontal="center"/>
    </xf>
    <xf numFmtId="167" fontId="0" fillId="0" borderId="0" xfId="0" applyNumberFormat="1"/>
    <xf numFmtId="164" fontId="0" fillId="0" borderId="21" xfId="3" applyNumberFormat="1" applyFont="1" applyBorder="1" applyAlignment="1">
      <alignment horizontal="center"/>
    </xf>
    <xf numFmtId="0" fontId="5" fillId="0" borderId="16" xfId="0" applyFont="1" applyBorder="1" applyAlignment="1">
      <alignment horizontal="center" wrapText="1"/>
    </xf>
    <xf numFmtId="167" fontId="0" fillId="4" borderId="8" xfId="3" applyNumberFormat="1" applyFont="1" applyFill="1" applyBorder="1" applyAlignment="1">
      <alignment horizontal="center" vertical="center"/>
    </xf>
    <xf numFmtId="167" fontId="0" fillId="4" borderId="9" xfId="3" applyNumberFormat="1" applyFont="1" applyFill="1" applyBorder="1" applyAlignment="1">
      <alignment horizontal="center" vertical="center"/>
    </xf>
    <xf numFmtId="164" fontId="0" fillId="0" borderId="16" xfId="3" applyNumberFormat="1" applyFont="1" applyBorder="1" applyAlignment="1">
      <alignment horizontal="center"/>
    </xf>
    <xf numFmtId="164" fontId="0" fillId="4" borderId="11" xfId="3" applyNumberFormat="1" applyFont="1" applyFill="1" applyBorder="1" applyAlignment="1">
      <alignment horizontal="center" vertical="center"/>
    </xf>
    <xf numFmtId="164" fontId="0" fillId="4" borderId="12" xfId="3" applyNumberFormat="1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wrapText="1"/>
    </xf>
    <xf numFmtId="0" fontId="0" fillId="0" borderId="44" xfId="0" applyBorder="1" applyAlignment="1">
      <alignment horizontal="center"/>
    </xf>
    <xf numFmtId="0" fontId="0" fillId="0" borderId="30" xfId="0" applyBorder="1" applyAlignment="1">
      <alignment horizontal="center"/>
    </xf>
    <xf numFmtId="164" fontId="0" fillId="0" borderId="24" xfId="3" applyNumberFormat="1" applyFont="1" applyBorder="1" applyAlignment="1">
      <alignment horizontal="center"/>
    </xf>
    <xf numFmtId="164" fontId="0" fillId="4" borderId="21" xfId="3" applyNumberFormat="1" applyFont="1" applyFill="1" applyBorder="1" applyAlignment="1">
      <alignment horizontal="center" vertical="center"/>
    </xf>
    <xf numFmtId="165" fontId="19" fillId="2" borderId="11" xfId="2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2" fontId="25" fillId="2" borderId="38" xfId="2" applyNumberFormat="1" applyFont="1" applyBorder="1" applyAlignment="1">
      <alignment horizontal="center"/>
    </xf>
    <xf numFmtId="0" fontId="26" fillId="0" borderId="0" xfId="0" applyFont="1"/>
    <xf numFmtId="0" fontId="26" fillId="0" borderId="11" xfId="0" applyFont="1" applyBorder="1" applyAlignment="1">
      <alignment horizontal="center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/>
    </xf>
    <xf numFmtId="0" fontId="26" fillId="0" borderId="20" xfId="0" applyFont="1" applyBorder="1"/>
    <xf numFmtId="0" fontId="26" fillId="0" borderId="23" xfId="0" applyFont="1" applyBorder="1"/>
    <xf numFmtId="0" fontId="26" fillId="0" borderId="19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31" xfId="0" applyFont="1" applyFill="1" applyBorder="1" applyAlignment="1">
      <alignment horizontal="center"/>
    </xf>
    <xf numFmtId="0" fontId="26" fillId="0" borderId="19" xfId="0" applyFont="1" applyBorder="1"/>
    <xf numFmtId="164" fontId="26" fillId="0" borderId="0" xfId="3" applyNumberFormat="1" applyFont="1"/>
    <xf numFmtId="167" fontId="19" fillId="2" borderId="11" xfId="2" applyNumberForma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9" fillId="2" borderId="15" xfId="2" applyFont="1" applyBorder="1" applyAlignment="1">
      <alignment horizontal="center"/>
    </xf>
    <xf numFmtId="0" fontId="19" fillId="2" borderId="16" xfId="2" applyFont="1" applyBorder="1" applyAlignment="1">
      <alignment horizontal="center"/>
    </xf>
    <xf numFmtId="0" fontId="19" fillId="2" borderId="17" xfId="2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9" fontId="1" fillId="0" borderId="15" xfId="3" applyFont="1" applyBorder="1" applyAlignment="1">
      <alignment horizontal="center"/>
    </xf>
    <xf numFmtId="9" fontId="1" fillId="0" borderId="16" xfId="3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1" fillId="0" borderId="21" xfId="0" applyNumberFormat="1" applyFont="1" applyBorder="1" applyAlignment="1">
      <alignment horizontal="center"/>
    </xf>
    <xf numFmtId="0" fontId="19" fillId="2" borderId="8" xfId="2" applyFont="1" applyBorder="1" applyAlignment="1">
      <alignment horizontal="center"/>
    </xf>
    <xf numFmtId="0" fontId="19" fillId="2" borderId="11" xfId="2" applyFont="1" applyBorder="1" applyAlignment="1">
      <alignment horizontal="center"/>
    </xf>
    <xf numFmtId="0" fontId="19" fillId="2" borderId="22" xfId="2" applyFont="1" applyBorder="1" applyAlignment="1">
      <alignment horizontal="center"/>
    </xf>
    <xf numFmtId="9" fontId="1" fillId="0" borderId="8" xfId="3" applyFont="1" applyBorder="1" applyAlignment="1">
      <alignment horizontal="center"/>
    </xf>
    <xf numFmtId="9" fontId="1" fillId="0" borderId="11" xfId="3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9" fontId="1" fillId="5" borderId="11" xfId="3" applyFont="1" applyFill="1" applyBorder="1" applyAlignment="1">
      <alignment horizontal="center"/>
    </xf>
    <xf numFmtId="164" fontId="1" fillId="0" borderId="22" xfId="0" applyNumberFormat="1" applyFont="1" applyFill="1" applyBorder="1" applyAlignment="1">
      <alignment horizontal="center"/>
    </xf>
    <xf numFmtId="0" fontId="19" fillId="2" borderId="39" xfId="2" applyFont="1" applyBorder="1" applyAlignment="1">
      <alignment horizontal="center"/>
    </xf>
    <xf numFmtId="0" fontId="19" fillId="2" borderId="42" xfId="2" applyFont="1" applyBorder="1" applyAlignment="1">
      <alignment horizontal="center"/>
    </xf>
    <xf numFmtId="0" fontId="19" fillId="2" borderId="40" xfId="2" applyFont="1" applyBorder="1" applyAlignment="1">
      <alignment horizontal="center"/>
    </xf>
    <xf numFmtId="165" fontId="19" fillId="2" borderId="8" xfId="2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1" fillId="0" borderId="8" xfId="0" applyFont="1" applyBorder="1" applyAlignment="1"/>
    <xf numFmtId="0" fontId="1" fillId="0" borderId="11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8" xfId="0" applyFont="1" applyBorder="1"/>
    <xf numFmtId="164" fontId="0" fillId="0" borderId="18" xfId="0" applyNumberFormat="1" applyBorder="1" applyAlignment="1">
      <alignment horizontal="center"/>
    </xf>
    <xf numFmtId="0" fontId="0" fillId="0" borderId="47" xfId="0" applyBorder="1"/>
    <xf numFmtId="0" fontId="1" fillId="0" borderId="0" xfId="0" applyFont="1" applyBorder="1"/>
    <xf numFmtId="0" fontId="19" fillId="2" borderId="37" xfId="2" applyBorder="1" applyAlignment="1">
      <alignment horizontal="center"/>
    </xf>
    <xf numFmtId="0" fontId="19" fillId="2" borderId="48" xfId="2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/>
    <xf numFmtId="166" fontId="0" fillId="0" borderId="34" xfId="0" applyNumberFormat="1" applyBorder="1"/>
    <xf numFmtId="0" fontId="1" fillId="0" borderId="47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164" fontId="0" fillId="0" borderId="47" xfId="0" applyNumberFormat="1" applyBorder="1" applyAlignment="1">
      <alignment horizontal="center" vertical="center"/>
    </xf>
    <xf numFmtId="9" fontId="0" fillId="0" borderId="0" xfId="3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27" fillId="6" borderId="37" xfId="4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164" fontId="0" fillId="0" borderId="0" xfId="3" applyNumberFormat="1" applyFont="1" applyBorder="1" applyAlignment="1">
      <alignment horizontal="center" vertical="center"/>
    </xf>
    <xf numFmtId="164" fontId="1" fillId="0" borderId="11" xfId="3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165" fontId="0" fillId="0" borderId="11" xfId="0" applyNumberForma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165" fontId="19" fillId="2" borderId="42" xfId="2" applyNumberFormat="1" applyBorder="1" applyAlignment="1">
      <alignment horizontal="center"/>
    </xf>
    <xf numFmtId="165" fontId="0" fillId="0" borderId="42" xfId="0" applyNumberFormat="1" applyBorder="1" applyAlignment="1">
      <alignment horizontal="center"/>
    </xf>
    <xf numFmtId="9" fontId="0" fillId="0" borderId="42" xfId="3" applyFont="1" applyBorder="1" applyAlignment="1">
      <alignment horizontal="center"/>
    </xf>
    <xf numFmtId="164" fontId="0" fillId="0" borderId="17" xfId="3" applyNumberFormat="1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167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2" fillId="0" borderId="15" xfId="0" quotePrefix="1" applyFon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1" xfId="3" applyNumberFormat="1" applyFont="1" applyBorder="1" applyAlignment="1">
      <alignment horizontal="center" vertical="center"/>
    </xf>
    <xf numFmtId="164" fontId="0" fillId="4" borderId="1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164" fontId="0" fillId="4" borderId="22" xfId="3" applyNumberFormat="1" applyFont="1" applyFill="1" applyBorder="1" applyAlignment="1">
      <alignment horizontal="center" vertical="center"/>
    </xf>
    <xf numFmtId="164" fontId="0" fillId="4" borderId="18" xfId="3" applyNumberFormat="1" applyFont="1" applyFill="1" applyBorder="1" applyAlignment="1">
      <alignment horizontal="center" vertical="center"/>
    </xf>
    <xf numFmtId="0" fontId="0" fillId="0" borderId="43" xfId="0" applyBorder="1"/>
    <xf numFmtId="0" fontId="0" fillId="0" borderId="45" xfId="0" applyBorder="1"/>
    <xf numFmtId="49" fontId="4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164" fontId="0" fillId="0" borderId="30" xfId="3" applyNumberFormat="1" applyFont="1" applyBorder="1" applyAlignment="1">
      <alignment horizontal="center" vertical="center"/>
    </xf>
    <xf numFmtId="164" fontId="0" fillId="0" borderId="22" xfId="3" applyNumberFormat="1" applyFont="1" applyBorder="1" applyAlignment="1">
      <alignment horizontal="center" vertical="center"/>
    </xf>
    <xf numFmtId="164" fontId="0" fillId="0" borderId="55" xfId="3" applyNumberFormat="1" applyFont="1" applyBorder="1" applyAlignment="1">
      <alignment horizontal="center" vertical="center"/>
    </xf>
    <xf numFmtId="164" fontId="0" fillId="0" borderId="40" xfId="3" applyNumberFormat="1" applyFont="1" applyBorder="1" applyAlignment="1">
      <alignment horizontal="center" vertical="center"/>
    </xf>
    <xf numFmtId="164" fontId="0" fillId="0" borderId="16" xfId="3" applyNumberFormat="1" applyFont="1" applyBorder="1" applyAlignment="1">
      <alignment horizontal="center" vertical="center"/>
    </xf>
    <xf numFmtId="164" fontId="0" fillId="0" borderId="17" xfId="3" applyNumberFormat="1" applyFont="1" applyBorder="1" applyAlignment="1">
      <alignment horizontal="center" vertical="center"/>
    </xf>
    <xf numFmtId="164" fontId="0" fillId="0" borderId="57" xfId="0" applyNumberForma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0" fontId="0" fillId="0" borderId="0" xfId="0" applyNumberForma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8" fillId="0" borderId="0" xfId="0" applyFont="1" applyBorder="1"/>
    <xf numFmtId="0" fontId="20" fillId="0" borderId="0" xfId="0" applyFont="1" applyBorder="1" applyAlignment="1">
      <alignment horizontal="right"/>
    </xf>
    <xf numFmtId="166" fontId="20" fillId="0" borderId="0" xfId="0" applyNumberFormat="1" applyFont="1" applyBorder="1"/>
    <xf numFmtId="0" fontId="0" fillId="0" borderId="0" xfId="0" applyBorder="1" applyAlignment="1">
      <alignment horizontal="right"/>
    </xf>
    <xf numFmtId="166" fontId="0" fillId="0" borderId="0" xfId="0" applyNumberFormat="1" applyBorder="1"/>
    <xf numFmtId="165" fontId="10" fillId="0" borderId="0" xfId="0" applyNumberFormat="1" applyFont="1" applyBorder="1"/>
    <xf numFmtId="0" fontId="20" fillId="0" borderId="0" xfId="0" applyFont="1" applyBorder="1"/>
    <xf numFmtId="0" fontId="9" fillId="0" borderId="0" xfId="0" applyFont="1" applyBorder="1" applyAlignment="1">
      <alignment horizontal="left"/>
    </xf>
    <xf numFmtId="165" fontId="1" fillId="0" borderId="0" xfId="0" applyNumberFormat="1" applyFont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2" fontId="0" fillId="0" borderId="0" xfId="3" applyNumberFormat="1" applyFont="1" applyBorder="1" applyAlignment="1">
      <alignment horizontal="center" vertical="center"/>
    </xf>
    <xf numFmtId="168" fontId="0" fillId="0" borderId="0" xfId="0" applyNumberFormat="1" applyBorder="1" applyAlignment="1">
      <alignment horizontal="center" vertical="center"/>
    </xf>
    <xf numFmtId="167" fontId="0" fillId="0" borderId="0" xfId="3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/>
    <xf numFmtId="0" fontId="6" fillId="0" borderId="0" xfId="0" applyFont="1" applyBorder="1"/>
    <xf numFmtId="0" fontId="7" fillId="0" borderId="0" xfId="0" applyFont="1" applyBorder="1" applyAlignment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16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 vertical="center"/>
    </xf>
    <xf numFmtId="171" fontId="1" fillId="0" borderId="0" xfId="3" applyNumberFormat="1" applyFont="1" applyFill="1" applyBorder="1" applyAlignment="1">
      <alignment horizontal="center" vertical="center"/>
    </xf>
    <xf numFmtId="166" fontId="1" fillId="0" borderId="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164" fontId="0" fillId="0" borderId="10" xfId="3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/>
    <xf numFmtId="0" fontId="0" fillId="0" borderId="21" xfId="0" applyBorder="1" applyAlignment="1">
      <alignment horizontal="center"/>
    </xf>
    <xf numFmtId="164" fontId="0" fillId="0" borderId="22" xfId="3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9" fontId="0" fillId="0" borderId="8" xfId="3" applyFont="1" applyBorder="1" applyAlignment="1">
      <alignment horizontal="center"/>
    </xf>
    <xf numFmtId="9" fontId="0" fillId="0" borderId="30" xfId="3" applyFont="1" applyBorder="1" applyAlignment="1">
      <alignment horizontal="center"/>
    </xf>
    <xf numFmtId="0" fontId="0" fillId="0" borderId="62" xfId="0" applyBorder="1" applyAlignment="1">
      <alignment horizontal="center"/>
    </xf>
    <xf numFmtId="9" fontId="0" fillId="4" borderId="30" xfId="3" applyFont="1" applyFill="1" applyBorder="1" applyAlignment="1">
      <alignment horizontal="center" vertical="center"/>
    </xf>
    <xf numFmtId="9" fontId="0" fillId="4" borderId="52" xfId="3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5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/>
    </xf>
    <xf numFmtId="167" fontId="0" fillId="4" borderId="62" xfId="3" applyNumberFormat="1" applyFont="1" applyFill="1" applyBorder="1" applyAlignment="1">
      <alignment horizontal="center" vertical="center"/>
    </xf>
    <xf numFmtId="167" fontId="0" fillId="4" borderId="60" xfId="3" applyNumberFormat="1" applyFont="1" applyFill="1" applyBorder="1" applyAlignment="1">
      <alignment horizontal="center" vertical="center"/>
    </xf>
    <xf numFmtId="2" fontId="0" fillId="0" borderId="63" xfId="3" applyNumberFormat="1" applyFont="1" applyBorder="1" applyAlignment="1">
      <alignment horizontal="center"/>
    </xf>
    <xf numFmtId="9" fontId="0" fillId="0" borderId="9" xfId="3" applyFont="1" applyBorder="1" applyAlignment="1">
      <alignment horizontal="center"/>
    </xf>
    <xf numFmtId="167" fontId="0" fillId="4" borderId="63" xfId="3" applyNumberFormat="1" applyFont="1" applyFill="1" applyBorder="1" applyAlignment="1">
      <alignment horizontal="center" vertical="center"/>
    </xf>
    <xf numFmtId="167" fontId="0" fillId="4" borderId="61" xfId="3" applyNumberFormat="1" applyFont="1" applyFill="1" applyBorder="1" applyAlignment="1">
      <alignment horizontal="center" vertical="center"/>
    </xf>
    <xf numFmtId="9" fontId="0" fillId="0" borderId="63" xfId="3" applyFont="1" applyBorder="1" applyAlignment="1">
      <alignment horizontal="center"/>
    </xf>
    <xf numFmtId="9" fontId="0" fillId="4" borderId="8" xfId="3" applyFont="1" applyFill="1" applyBorder="1" applyAlignment="1">
      <alignment horizontal="center" vertical="center"/>
    </xf>
    <xf numFmtId="2" fontId="0" fillId="4" borderId="63" xfId="3" applyNumberFormat="1" applyFont="1" applyFill="1" applyBorder="1" applyAlignment="1">
      <alignment horizontal="center" vertical="center"/>
    </xf>
    <xf numFmtId="2" fontId="0" fillId="4" borderId="61" xfId="3" applyNumberFormat="1" applyFont="1" applyFill="1" applyBorder="1" applyAlignment="1">
      <alignment horizontal="center" vertical="center"/>
    </xf>
    <xf numFmtId="2" fontId="0" fillId="4" borderId="8" xfId="3" applyNumberFormat="1" applyFont="1" applyFill="1" applyBorder="1" applyAlignment="1">
      <alignment horizontal="center" vertical="center"/>
    </xf>
    <xf numFmtId="2" fontId="0" fillId="4" borderId="9" xfId="3" applyNumberFormat="1" applyFont="1" applyFill="1" applyBorder="1" applyAlignment="1">
      <alignment horizontal="center" vertical="center"/>
    </xf>
    <xf numFmtId="167" fontId="0" fillId="4" borderId="22" xfId="3" applyNumberFormat="1" applyFont="1" applyFill="1" applyBorder="1" applyAlignment="1">
      <alignment horizontal="center" vertical="center"/>
    </xf>
    <xf numFmtId="167" fontId="0" fillId="4" borderId="18" xfId="3" applyNumberFormat="1" applyFont="1" applyFill="1" applyBorder="1" applyAlignment="1">
      <alignment horizontal="center" vertical="center"/>
    </xf>
    <xf numFmtId="0" fontId="0" fillId="0" borderId="6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9" fontId="0" fillId="0" borderId="56" xfId="3" applyFont="1" applyBorder="1" applyAlignment="1">
      <alignment horizontal="center"/>
    </xf>
    <xf numFmtId="9" fontId="0" fillId="0" borderId="54" xfId="3" applyFont="1" applyBorder="1" applyAlignment="1">
      <alignment horizontal="center"/>
    </xf>
    <xf numFmtId="9" fontId="0" fillId="0" borderId="13" xfId="3" applyFont="1" applyBorder="1" applyAlignment="1">
      <alignment horizontal="center"/>
    </xf>
    <xf numFmtId="2" fontId="0" fillId="0" borderId="54" xfId="3" applyNumberFormat="1" applyFont="1" applyBorder="1" applyAlignment="1">
      <alignment horizontal="center"/>
    </xf>
    <xf numFmtId="2" fontId="0" fillId="0" borderId="21" xfId="3" applyNumberFormat="1" applyFont="1" applyBorder="1" applyAlignment="1">
      <alignment horizontal="center"/>
    </xf>
    <xf numFmtId="2" fontId="0" fillId="0" borderId="25" xfId="3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5" fillId="0" borderId="36" xfId="0" applyFont="1" applyBorder="1" applyAlignment="1">
      <alignment horizontal="center" wrapText="1"/>
    </xf>
    <xf numFmtId="164" fontId="0" fillId="0" borderId="63" xfId="3" applyNumberFormat="1" applyFont="1" applyBorder="1" applyAlignment="1">
      <alignment horizontal="center"/>
    </xf>
    <xf numFmtId="164" fontId="0" fillId="0" borderId="61" xfId="3" applyNumberFormat="1" applyFont="1" applyBorder="1" applyAlignment="1">
      <alignment horizontal="center"/>
    </xf>
    <xf numFmtId="0" fontId="5" fillId="0" borderId="26" xfId="0" applyFont="1" applyBorder="1" applyAlignment="1">
      <alignment horizontal="center" vertical="center" wrapText="1"/>
    </xf>
    <xf numFmtId="9" fontId="0" fillId="0" borderId="0" xfId="3" applyFont="1"/>
    <xf numFmtId="0" fontId="0" fillId="3" borderId="33" xfId="0" applyFill="1" applyBorder="1" applyAlignment="1">
      <alignment horizontal="center"/>
    </xf>
    <xf numFmtId="0" fontId="1" fillId="0" borderId="0" xfId="0" quotePrefix="1" applyFont="1"/>
    <xf numFmtId="0" fontId="24" fillId="0" borderId="0" xfId="0" applyFont="1" applyAlignment="1">
      <alignment horizontal="left"/>
    </xf>
    <xf numFmtId="0" fontId="26" fillId="0" borderId="0" xfId="0" applyFont="1" applyFill="1" applyBorder="1" applyAlignment="1">
      <alignment horizontal="left"/>
    </xf>
    <xf numFmtId="0" fontId="24" fillId="0" borderId="0" xfId="0" applyFont="1" applyAlignment="1">
      <alignment horizontal="right"/>
    </xf>
    <xf numFmtId="0" fontId="17" fillId="0" borderId="34" xfId="0" applyFont="1" applyBorder="1" applyAlignment="1">
      <alignment horizontal="center" vertical="center" textRotation="90"/>
    </xf>
    <xf numFmtId="0" fontId="6" fillId="0" borderId="2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3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1" fillId="0" borderId="3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5" fillId="0" borderId="46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0" fillId="5" borderId="50" xfId="0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textRotation="90"/>
    </xf>
    <xf numFmtId="0" fontId="5" fillId="0" borderId="17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22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18" xfId="0" applyFont="1" applyBorder="1" applyAlignment="1">
      <alignment horizontal="center" vertical="center" textRotation="90"/>
    </xf>
    <xf numFmtId="0" fontId="5" fillId="0" borderId="41" xfId="0" applyFont="1" applyBorder="1" applyAlignment="1">
      <alignment horizontal="center" vertical="center" textRotation="90"/>
    </xf>
    <xf numFmtId="0" fontId="5" fillId="0" borderId="58" xfId="0" applyFont="1" applyBorder="1" applyAlignment="1">
      <alignment horizontal="center" vertical="center" textRotation="90"/>
    </xf>
    <xf numFmtId="0" fontId="5" fillId="0" borderId="26" xfId="0" applyFont="1" applyBorder="1" applyAlignment="1">
      <alignment horizontal="center" vertical="center" textRotation="90"/>
    </xf>
    <xf numFmtId="0" fontId="1" fillId="0" borderId="4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164" fontId="0" fillId="0" borderId="11" xfId="3" applyNumberFormat="1" applyFont="1" applyBorder="1" applyAlignment="1">
      <alignment horizontal="center" vertical="center"/>
    </xf>
    <xf numFmtId="164" fontId="0" fillId="4" borderId="11" xfId="3" applyNumberFormat="1" applyFont="1" applyFill="1" applyBorder="1" applyAlignment="1">
      <alignment horizontal="center" vertical="center"/>
    </xf>
    <xf numFmtId="164" fontId="0" fillId="0" borderId="42" xfId="3" applyNumberFormat="1" applyFont="1" applyBorder="1" applyAlignment="1">
      <alignment horizontal="center" vertical="center"/>
    </xf>
    <xf numFmtId="164" fontId="0" fillId="0" borderId="7" xfId="3" applyNumberFormat="1" applyFont="1" applyBorder="1" applyAlignment="1">
      <alignment horizontal="center" vertical="center"/>
    </xf>
    <xf numFmtId="164" fontId="0" fillId="0" borderId="10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46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0" xfId="0" applyFont="1" applyBorder="1" applyAlignment="1">
      <alignment horizontal="left"/>
    </xf>
    <xf numFmtId="0" fontId="12" fillId="0" borderId="0" xfId="0" applyFont="1" applyAlignment="1">
      <alignment horizontal="center"/>
    </xf>
    <xf numFmtId="167" fontId="0" fillId="4" borderId="11" xfId="3" applyNumberFormat="1" applyFont="1" applyFill="1" applyBorder="1" applyAlignment="1">
      <alignment horizontal="center" vertical="center"/>
    </xf>
    <xf numFmtId="167" fontId="0" fillId="4" borderId="12" xfId="3" applyNumberFormat="1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53" xfId="0" applyNumberFormat="1" applyBorder="1" applyAlignment="1">
      <alignment horizontal="center"/>
    </xf>
    <xf numFmtId="164" fontId="0" fillId="0" borderId="52" xfId="0" applyNumberFormat="1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textRotation="90"/>
    </xf>
    <xf numFmtId="0" fontId="5" fillId="0" borderId="43" xfId="0" applyFont="1" applyBorder="1" applyAlignment="1">
      <alignment horizontal="center" vertical="center" textRotation="90"/>
    </xf>
    <xf numFmtId="0" fontId="5" fillId="0" borderId="47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16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4" fillId="0" borderId="50" xfId="0" applyFont="1" applyBorder="1" applyAlignment="1">
      <alignment horizontal="center"/>
    </xf>
    <xf numFmtId="0" fontId="12" fillId="0" borderId="24" xfId="0" applyFont="1" applyBorder="1" applyAlignment="1">
      <alignment horizontal="center" wrapText="1"/>
    </xf>
    <xf numFmtId="0" fontId="12" fillId="0" borderId="3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28" xfId="0" applyFont="1" applyBorder="1" applyAlignment="1">
      <alignment horizontal="center"/>
    </xf>
    <xf numFmtId="1" fontId="4" fillId="0" borderId="28" xfId="0" applyNumberFormat="1" applyFont="1" applyBorder="1" applyAlignment="1">
      <alignment horizontal="center"/>
    </xf>
    <xf numFmtId="14" fontId="4" fillId="0" borderId="28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49" fontId="4" fillId="0" borderId="28" xfId="0" applyNumberFormat="1" applyFont="1" applyBorder="1" applyAlignment="1">
      <alignment horizontal="center"/>
    </xf>
    <xf numFmtId="171" fontId="4" fillId="0" borderId="28" xfId="3" applyNumberFormat="1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9" fontId="1" fillId="0" borderId="9" xfId="3" applyFont="1" applyBorder="1" applyAlignment="1">
      <alignment horizontal="center"/>
    </xf>
    <xf numFmtId="9" fontId="1" fillId="0" borderId="25" xfId="3" applyFont="1" applyBorder="1" applyAlignment="1">
      <alignment horizontal="center"/>
    </xf>
    <xf numFmtId="0" fontId="5" fillId="0" borderId="13" xfId="0" applyFont="1" applyBorder="1" applyAlignment="1">
      <alignment horizontal="center" vertical="center" textRotation="90"/>
    </xf>
    <xf numFmtId="9" fontId="1" fillId="0" borderId="18" xfId="3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/>
    </xf>
    <xf numFmtId="0" fontId="1" fillId="0" borderId="46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</cellXfs>
  <cellStyles count="5">
    <cellStyle name="Good" xfId="4" builtinId="26"/>
    <cellStyle name="Hyperlink" xfId="1" builtinId="8"/>
    <cellStyle name="Input" xfId="2" builtinId="20"/>
    <cellStyle name="Normal" xfId="0" builtinId="0"/>
    <cellStyle name="Percent" xfId="3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Correction</a:t>
            </a:r>
            <a:r>
              <a:rPr lang="en-US" baseline="0"/>
              <a:t> Factor [C12]</a:t>
            </a:r>
            <a:endParaRPr lang="en-US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4050240594925634"/>
          <c:y val="0.19480351414406533"/>
          <c:w val="0.82874759405074361"/>
          <c:h val="0.65183342736363559"/>
        </c:manualLayout>
      </c:layout>
      <c:scatterChart>
        <c:scatterStyle val="lineMarker"/>
        <c:varyColors val="0"/>
        <c:ser>
          <c:idx val="0"/>
          <c:order val="0"/>
          <c:tx>
            <c:strRef>
              <c:f>'Passing #10 Sieve'!$D$9</c:f>
              <c:strCache>
                <c:ptCount val="1"/>
                <c:pt idx="0">
                  <c:v>Hydrometer Reading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backward val="68"/>
            <c:dispRSqr val="1"/>
            <c:dispEq val="1"/>
            <c:trendlineLbl>
              <c:layout>
                <c:manualLayout>
                  <c:x val="-3.2886920384951883E-2"/>
                  <c:y val="-0.45453790238836966"/>
                </c:manualLayout>
              </c:layout>
              <c:numFmt formatCode="General" sourceLinked="0"/>
            </c:trendlineLbl>
          </c:trendline>
          <c:xVal>
            <c:numRef>
              <c:f>'Passing #10 Sieve'!$E$10:$E$11</c:f>
              <c:numCache>
                <c:formatCode>General</c:formatCode>
                <c:ptCount val="2"/>
                <c:pt idx="0">
                  <c:v>65.599999999999994</c:v>
                </c:pt>
                <c:pt idx="1">
                  <c:v>75.5</c:v>
                </c:pt>
              </c:numCache>
            </c:numRef>
          </c:xVal>
          <c:yVal>
            <c:numRef>
              <c:f>'Passing #10 Sieve'!$D$10:$D$11</c:f>
              <c:numCache>
                <c:formatCode>General</c:formatCode>
                <c:ptCount val="2"/>
                <c:pt idx="0">
                  <c:v>1.0049999999999999</c:v>
                </c:pt>
                <c:pt idx="1">
                  <c:v>1.004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8709120"/>
        <c:axId val="338715392"/>
      </c:scatterChart>
      <c:valAx>
        <c:axId val="338709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</a:t>
                </a:r>
                <a:r>
                  <a:rPr lang="en-US" baseline="0"/>
                  <a:t> (F)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38715392"/>
        <c:crosses val="autoZero"/>
        <c:crossBetween val="midCat"/>
      </c:valAx>
      <c:valAx>
        <c:axId val="3387153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Specific Gravity</a:t>
                </a:r>
                <a:r>
                  <a:rPr lang="en-US" baseline="0"/>
                  <a:t> of Liquid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low"/>
        <c:crossAx val="33870912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2080424321959755"/>
          <c:y val="0.60511492138249079"/>
          <c:w val="0.31808464566929134"/>
          <c:h val="0.20906190464509694"/>
        </c:manualLayout>
      </c:layout>
      <c:overlay val="0"/>
      <c:spPr>
        <a:solidFill>
          <a:schemeClr val="bg1">
            <a:alpha val="77000"/>
          </a:schemeClr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Gradation Test Results</a:t>
            </a:r>
          </a:p>
        </c:rich>
      </c:tx>
      <c:layout>
        <c:manualLayout>
          <c:xMode val="edge"/>
          <c:yMode val="edge"/>
          <c:x val="0.30351592799744409"/>
          <c:y val="5.82985950285626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50544709308596"/>
          <c:y val="0.25547460832368735"/>
          <c:w val="0.8357627728040844"/>
          <c:h val="0.5738563623285746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TOTALS!$E$2</c:f>
              <c:strCache>
                <c:ptCount val="1"/>
                <c:pt idx="0">
                  <c:v>Percent Passing</c:v>
                </c:pt>
              </c:strCache>
            </c:strRef>
          </c:tx>
          <c:xVal>
            <c:numRef>
              <c:f>TOTALS!$D$10:$D$23</c:f>
              <c:numCache>
                <c:formatCode>0.00</c:formatCode>
                <c:ptCount val="14"/>
                <c:pt idx="0" formatCode="General">
                  <c:v>2.38</c:v>
                </c:pt>
                <c:pt idx="1">
                  <c:v>2</c:v>
                </c:pt>
                <c:pt idx="2" formatCode="General">
                  <c:v>0.59499999999999997</c:v>
                </c:pt>
                <c:pt idx="3" formatCode="General">
                  <c:v>0.25</c:v>
                </c:pt>
                <c:pt idx="4" formatCode="General">
                  <c:v>0.17699999999999999</c:v>
                </c:pt>
                <c:pt idx="5" formatCode="General">
                  <c:v>0.14899999999999999</c:v>
                </c:pt>
                <c:pt idx="6" formatCode="General">
                  <c:v>7.3999999999999996E-2</c:v>
                </c:pt>
                <c:pt idx="7" formatCode="0.0000">
                  <c:v>3.235416758317234E-2</c:v>
                </c:pt>
                <c:pt idx="8" formatCode="0.0000">
                  <c:v>2.072105711589059E-2</c:v>
                </c:pt>
                <c:pt idx="9" formatCode="0.0000">
                  <c:v>1.206177300399904E-2</c:v>
                </c:pt>
                <c:pt idx="10" formatCode="0.0000">
                  <c:v>8.6323466102792689E-3</c:v>
                </c:pt>
                <c:pt idx="11" formatCode="0.0000">
                  <c:v>6.1762299180001387E-3</c:v>
                </c:pt>
                <c:pt idx="12" formatCode="0.0000">
                  <c:v>3.0257223666423859E-3</c:v>
                </c:pt>
                <c:pt idx="13" formatCode="0.0000">
                  <c:v>1.2857137663138281E-3</c:v>
                </c:pt>
              </c:numCache>
            </c:numRef>
          </c:xVal>
          <c:yVal>
            <c:numRef>
              <c:f>TOTALS!$E$10:$E$23</c:f>
              <c:numCache>
                <c:formatCode>0.0%</c:formatCode>
                <c:ptCount val="14"/>
                <c:pt idx="0">
                  <c:v>0.95906432748537973</c:v>
                </c:pt>
                <c:pt idx="1">
                  <c:v>0.93762183235867369</c:v>
                </c:pt>
                <c:pt idx="2">
                  <c:v>0.9121101940561942</c:v>
                </c:pt>
                <c:pt idx="3">
                  <c:v>0.81419269213222245</c:v>
                </c:pt>
                <c:pt idx="4">
                  <c:v>0.79118797782478345</c:v>
                </c:pt>
                <c:pt idx="5">
                  <c:v>0.78469946866114659</c:v>
                </c:pt>
                <c:pt idx="6">
                  <c:v>0.75107719390412031</c:v>
                </c:pt>
                <c:pt idx="7">
                  <c:v>0.2890244982132868</c:v>
                </c:pt>
                <c:pt idx="8">
                  <c:v>0.26598631357309954</c:v>
                </c:pt>
                <c:pt idx="9">
                  <c:v>0.25446722125300592</c:v>
                </c:pt>
                <c:pt idx="10">
                  <c:v>0.23142903661281355</c:v>
                </c:pt>
                <c:pt idx="11">
                  <c:v>0.2083908519726263</c:v>
                </c:pt>
                <c:pt idx="12">
                  <c:v>0.19802922642198917</c:v>
                </c:pt>
                <c:pt idx="13">
                  <c:v>0.18048904586053838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7AD2-4225-966E-BEC0F8CAC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8733312"/>
        <c:axId val="339227008"/>
      </c:scatterChart>
      <c:valAx>
        <c:axId val="338733312"/>
        <c:scaling>
          <c:logBase val="10"/>
          <c:orientation val="maxMin"/>
          <c:max val="1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Grain Size (mm)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39227008"/>
        <c:crosses val="autoZero"/>
        <c:crossBetween val="midCat"/>
      </c:valAx>
      <c:valAx>
        <c:axId val="339227008"/>
        <c:scaling>
          <c:orientation val="minMax"/>
          <c:max val="1"/>
          <c:min val="0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Percent Finer</a:t>
                </a:r>
              </a:p>
            </c:rich>
          </c:tx>
          <c:layout>
            <c:manualLayout>
              <c:xMode val="edge"/>
              <c:yMode val="edge"/>
              <c:x val="1.9201760026529814E-3"/>
              <c:y val="0.38700413871415978"/>
            </c:manualLayout>
          </c:layout>
          <c:overlay val="0"/>
        </c:title>
        <c:numFmt formatCode="0%" sourceLinked="0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38733312"/>
        <c:crossesAt val="1"/>
        <c:crossBetween val="midCat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58573928258968"/>
          <c:y val="0.10660213651637494"/>
          <c:w val="0.76962248468941385"/>
          <c:h val="0.7394315997124563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[1]TOTALS!$AE$33</c:f>
              <c:strCache>
                <c:ptCount val="1"/>
                <c:pt idx="0">
                  <c:v>PORTION PASSING #40</c:v>
                </c:pt>
              </c:strCache>
            </c:strRef>
          </c:tx>
          <c:xVal>
            <c:numRef>
              <c:f>[1]TOTALS!$AF$35:$AF$45</c:f>
              <c:numCache>
                <c:formatCode>General</c:formatCode>
                <c:ptCount val="11"/>
                <c:pt idx="1">
                  <c:v>0.29699999999999999</c:v>
                </c:pt>
                <c:pt idx="2">
                  <c:v>0.14899999999999999</c:v>
                </c:pt>
                <c:pt idx="3">
                  <c:v>7.3999999999999996E-2</c:v>
                </c:pt>
                <c:pt idx="4">
                  <c:v>3.2660537885956499E-2</c:v>
                </c:pt>
                <c:pt idx="5">
                  <c:v>2.0906726860032393E-2</c:v>
                </c:pt>
                <c:pt idx="6">
                  <c:v>1.2213355558567842E-2</c:v>
                </c:pt>
                <c:pt idx="7">
                  <c:v>8.7028359171019646E-3</c:v>
                </c:pt>
                <c:pt idx="8">
                  <c:v>6.1538342925366455E-3</c:v>
                </c:pt>
                <c:pt idx="9">
                  <c:v>3.083017956483549E-3</c:v>
                </c:pt>
                <c:pt idx="10">
                  <c:v>1.3243904677666294E-3</c:v>
                </c:pt>
              </c:numCache>
            </c:numRef>
          </c:xVal>
          <c:yVal>
            <c:numRef>
              <c:f>[1]TOTALS!$AG$35:$AG$45</c:f>
              <c:numCache>
                <c:formatCode>General</c:formatCode>
                <c:ptCount val="11"/>
                <c:pt idx="0">
                  <c:v>1</c:v>
                </c:pt>
                <c:pt idx="1">
                  <c:v>0.86403044786359651</c:v>
                </c:pt>
                <c:pt idx="2">
                  <c:v>0.76306295865339591</c:v>
                </c:pt>
                <c:pt idx="3">
                  <c:v>0.71055986426409157</c:v>
                </c:pt>
                <c:pt idx="4">
                  <c:v>0.13740239837283111</c:v>
                </c:pt>
                <c:pt idx="5">
                  <c:v>0.1309844519520201</c:v>
                </c:pt>
                <c:pt idx="6">
                  <c:v>0.11814855911039812</c:v>
                </c:pt>
                <c:pt idx="7">
                  <c:v>0.10531266626877329</c:v>
                </c:pt>
                <c:pt idx="8">
                  <c:v>9.9040582266617522E-2</c:v>
                </c:pt>
                <c:pt idx="9">
                  <c:v>7.3806383839333592E-2</c:v>
                </c:pt>
                <c:pt idx="10">
                  <c:v>5.7032205694031279E-2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335-483D-8C23-8D2FAC725031}"/>
            </c:ext>
          </c:extLst>
        </c:ser>
        <c:ser>
          <c:idx val="1"/>
          <c:order val="1"/>
          <c:tx>
            <c:v>D60</c:v>
          </c:tx>
          <c:spPr>
            <a:ln w="34925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TOTALS!$N$60:$N$61</c:f>
              <c:numCache>
                <c:formatCode>0.0000</c:formatCode>
                <c:ptCount val="2"/>
                <c:pt idx="0">
                  <c:v>0</c:v>
                </c:pt>
                <c:pt idx="1">
                  <c:v>0.59499999999999997</c:v>
                </c:pt>
              </c:numCache>
            </c:numRef>
          </c:xVal>
          <c:yVal>
            <c:numRef>
              <c:f>TOTALS!$O$60:$O$61</c:f>
              <c:numCache>
                <c:formatCode>General</c:formatCode>
                <c:ptCount val="2"/>
                <c:pt idx="0">
                  <c:v>0.6</c:v>
                </c:pt>
                <c:pt idx="1">
                  <c:v>0.6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BE8-4496-B0C2-17B564C59E91}"/>
            </c:ext>
          </c:extLst>
        </c:ser>
        <c:ser>
          <c:idx val="2"/>
          <c:order val="2"/>
          <c:tx>
            <c:v>d30</c:v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TOTALS!$N$60:$N$61</c:f>
              <c:numCache>
                <c:formatCode>0.0000</c:formatCode>
                <c:ptCount val="2"/>
                <c:pt idx="0">
                  <c:v>0</c:v>
                </c:pt>
                <c:pt idx="1">
                  <c:v>0.59499999999999997</c:v>
                </c:pt>
              </c:numCache>
            </c:numRef>
          </c:xVal>
          <c:yVal>
            <c:numRef>
              <c:f>TOTALS!$P$60:$P$61</c:f>
              <c:numCache>
                <c:formatCode>General</c:formatCode>
                <c:ptCount val="2"/>
                <c:pt idx="0">
                  <c:v>0.3</c:v>
                </c:pt>
                <c:pt idx="1">
                  <c:v>0.3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BE8-4496-B0C2-17B564C59E91}"/>
            </c:ext>
          </c:extLst>
        </c:ser>
        <c:ser>
          <c:idx val="3"/>
          <c:order val="3"/>
          <c:tx>
            <c:v>D10</c:v>
          </c:tx>
          <c:spPr>
            <a:ln w="22225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TOTALS!$N$60:$N$61</c:f>
              <c:numCache>
                <c:formatCode>0.0000</c:formatCode>
                <c:ptCount val="2"/>
                <c:pt idx="0">
                  <c:v>0</c:v>
                </c:pt>
                <c:pt idx="1">
                  <c:v>0.59499999999999997</c:v>
                </c:pt>
              </c:numCache>
            </c:numRef>
          </c:xVal>
          <c:yVal>
            <c:numRef>
              <c:f>TOTALS!$Q$60:$Q$61</c:f>
              <c:numCache>
                <c:formatCode>General</c:formatCode>
                <c:ptCount val="2"/>
                <c:pt idx="0">
                  <c:v>0.1</c:v>
                </c:pt>
                <c:pt idx="1">
                  <c:v>0.1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4BE8-4496-B0C2-17B564C59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2564224"/>
        <c:axId val="342607360"/>
      </c:scatterChart>
      <c:valAx>
        <c:axId val="342564224"/>
        <c:scaling>
          <c:logBase val="10"/>
          <c:orientation val="maxMin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Size</a:t>
                </a:r>
                <a:r>
                  <a:rPr lang="en-US" baseline="0"/>
                  <a:t> (mm)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42607360"/>
        <c:crosses val="autoZero"/>
        <c:crossBetween val="midCat"/>
      </c:valAx>
      <c:valAx>
        <c:axId val="342607360"/>
        <c:scaling>
          <c:orientation val="minMax"/>
        </c:scaling>
        <c:delete val="0"/>
        <c:axPos val="r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 Passing</a:t>
                </a:r>
              </a:p>
            </c:rich>
          </c:tx>
          <c:layout>
            <c:manualLayout>
              <c:xMode val="edge"/>
              <c:yMode val="edge"/>
              <c:x val="1.6097112860892399E-2"/>
              <c:y val="0.30353200641586475"/>
            </c:manualLayout>
          </c:layout>
          <c:overlay val="0"/>
        </c:title>
        <c:numFmt formatCode="General" sourceLinked="1"/>
        <c:majorTickMark val="out"/>
        <c:minorTickMark val="none"/>
        <c:tickLblPos val="high"/>
        <c:crossAx val="3425642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Gradation Test Results</a:t>
            </a:r>
          </a:p>
        </c:rich>
      </c:tx>
      <c:layout>
        <c:manualLayout>
          <c:xMode val="edge"/>
          <c:yMode val="edge"/>
          <c:x val="0.30351592799744409"/>
          <c:y val="5.82985950285626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50544709308596"/>
          <c:y val="0.18764807202715389"/>
          <c:w val="0.8357627728040844"/>
          <c:h val="0.64168280869907335"/>
        </c:manualLayout>
      </c:layout>
      <c:scatterChart>
        <c:scatterStyle val="smoothMarker"/>
        <c:varyColors val="0"/>
        <c:ser>
          <c:idx val="0"/>
          <c:order val="0"/>
          <c:tx>
            <c:strRef>
              <c:f>TOTALS!$E$2</c:f>
              <c:strCache>
                <c:ptCount val="1"/>
                <c:pt idx="0">
                  <c:v>Percent Passing</c:v>
                </c:pt>
              </c:strCache>
            </c:strRef>
          </c:tx>
          <c:xVal>
            <c:numRef>
              <c:f>TOTALS!$D$10:$D$23</c:f>
              <c:numCache>
                <c:formatCode>0.00</c:formatCode>
                <c:ptCount val="14"/>
                <c:pt idx="0" formatCode="General">
                  <c:v>2.38</c:v>
                </c:pt>
                <c:pt idx="1">
                  <c:v>2</c:v>
                </c:pt>
                <c:pt idx="2" formatCode="General">
                  <c:v>0.59499999999999997</c:v>
                </c:pt>
                <c:pt idx="3" formatCode="General">
                  <c:v>0.25</c:v>
                </c:pt>
                <c:pt idx="4" formatCode="General">
                  <c:v>0.17699999999999999</c:v>
                </c:pt>
                <c:pt idx="5" formatCode="General">
                  <c:v>0.14899999999999999</c:v>
                </c:pt>
                <c:pt idx="6" formatCode="General">
                  <c:v>7.3999999999999996E-2</c:v>
                </c:pt>
                <c:pt idx="7" formatCode="0.0000">
                  <c:v>3.235416758317234E-2</c:v>
                </c:pt>
                <c:pt idx="8" formatCode="0.0000">
                  <c:v>2.072105711589059E-2</c:v>
                </c:pt>
                <c:pt idx="9" formatCode="0.0000">
                  <c:v>1.206177300399904E-2</c:v>
                </c:pt>
                <c:pt idx="10" formatCode="0.0000">
                  <c:v>8.6323466102792689E-3</c:v>
                </c:pt>
                <c:pt idx="11" formatCode="0.0000">
                  <c:v>6.1762299180001387E-3</c:v>
                </c:pt>
                <c:pt idx="12" formatCode="0.0000">
                  <c:v>3.0257223666423859E-3</c:v>
                </c:pt>
                <c:pt idx="13" formatCode="0.0000">
                  <c:v>1.2857137663138281E-3</c:v>
                </c:pt>
              </c:numCache>
            </c:numRef>
          </c:xVal>
          <c:yVal>
            <c:numRef>
              <c:f>TOTALS!$E$10:$E$23</c:f>
              <c:numCache>
                <c:formatCode>0.0%</c:formatCode>
                <c:ptCount val="14"/>
                <c:pt idx="0">
                  <c:v>0.95906432748537973</c:v>
                </c:pt>
                <c:pt idx="1">
                  <c:v>0.93762183235867369</c:v>
                </c:pt>
                <c:pt idx="2">
                  <c:v>0.9121101940561942</c:v>
                </c:pt>
                <c:pt idx="3">
                  <c:v>0.81419269213222245</c:v>
                </c:pt>
                <c:pt idx="4">
                  <c:v>0.79118797782478345</c:v>
                </c:pt>
                <c:pt idx="5">
                  <c:v>0.78469946866114659</c:v>
                </c:pt>
                <c:pt idx="6">
                  <c:v>0.75107719390412031</c:v>
                </c:pt>
                <c:pt idx="7">
                  <c:v>0.2890244982132868</c:v>
                </c:pt>
                <c:pt idx="8">
                  <c:v>0.26598631357309954</c:v>
                </c:pt>
                <c:pt idx="9">
                  <c:v>0.25446722125300592</c:v>
                </c:pt>
                <c:pt idx="10">
                  <c:v>0.23142903661281355</c:v>
                </c:pt>
                <c:pt idx="11">
                  <c:v>0.2083908519726263</c:v>
                </c:pt>
                <c:pt idx="12">
                  <c:v>0.19802922642198917</c:v>
                </c:pt>
                <c:pt idx="13">
                  <c:v>0.18048904586053838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1A71-46FB-B4D3-746D1DAD3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636608"/>
        <c:axId val="343646976"/>
      </c:scatterChart>
      <c:valAx>
        <c:axId val="343636608"/>
        <c:scaling>
          <c:logBase val="10"/>
          <c:orientation val="maxMin"/>
          <c:max val="1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Grain Size (mm)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43646976"/>
        <c:crosses val="autoZero"/>
        <c:crossBetween val="midCat"/>
      </c:valAx>
      <c:valAx>
        <c:axId val="343646976"/>
        <c:scaling>
          <c:orientation val="minMax"/>
          <c:max val="1"/>
          <c:min val="0.2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Percent Finer</a:t>
                </a:r>
              </a:p>
            </c:rich>
          </c:tx>
          <c:layout>
            <c:manualLayout>
              <c:xMode val="edge"/>
              <c:yMode val="edge"/>
              <c:x val="1.9201760026529814E-3"/>
              <c:y val="0.38700413871415978"/>
            </c:manualLayout>
          </c:layout>
          <c:overlay val="0"/>
        </c:title>
        <c:numFmt formatCode="0%" sourceLinked="0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43636608"/>
        <c:crossesAt val="1"/>
        <c:crossBetween val="midCat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Gradation Test Results</a:t>
            </a:r>
          </a:p>
        </c:rich>
      </c:tx>
      <c:layout>
        <c:manualLayout>
          <c:xMode val="edge"/>
          <c:yMode val="edge"/>
          <c:x val="0.30351592799744409"/>
          <c:y val="5.82985950285626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50544709308596"/>
          <c:y val="0.18764807202715389"/>
          <c:w val="0.8357627728040844"/>
          <c:h val="0.64168280869907335"/>
        </c:manualLayout>
      </c:layout>
      <c:scatterChart>
        <c:scatterStyle val="smoothMarker"/>
        <c:varyColors val="0"/>
        <c:ser>
          <c:idx val="0"/>
          <c:order val="0"/>
          <c:xVal>
            <c:numRef>
              <c:f>RESULTS!$D$11:$D$25</c:f>
              <c:numCache>
                <c:formatCode>General</c:formatCode>
                <c:ptCount val="15"/>
                <c:pt idx="0">
                  <c:v>4.76</c:v>
                </c:pt>
                <c:pt idx="1">
                  <c:v>2.38</c:v>
                </c:pt>
                <c:pt idx="2">
                  <c:v>2</c:v>
                </c:pt>
                <c:pt idx="3">
                  <c:v>0.59499999999999997</c:v>
                </c:pt>
                <c:pt idx="4">
                  <c:v>0.25</c:v>
                </c:pt>
                <c:pt idx="5">
                  <c:v>0.17699999999999999</c:v>
                </c:pt>
                <c:pt idx="6">
                  <c:v>0.14899999999999999</c:v>
                </c:pt>
                <c:pt idx="7">
                  <c:v>7.3999999999999996E-2</c:v>
                </c:pt>
                <c:pt idx="8" formatCode="0.0000">
                  <c:v>3.235416758317234E-2</c:v>
                </c:pt>
                <c:pt idx="9" formatCode="0.0000">
                  <c:v>2.072105711589059E-2</c:v>
                </c:pt>
                <c:pt idx="10" formatCode="0.0000">
                  <c:v>1.206177300399904E-2</c:v>
                </c:pt>
                <c:pt idx="11" formatCode="0.0000">
                  <c:v>8.6323466102792689E-3</c:v>
                </c:pt>
                <c:pt idx="12" formatCode="0.0000">
                  <c:v>6.1762299180001387E-3</c:v>
                </c:pt>
                <c:pt idx="13" formatCode="0.0000">
                  <c:v>3.0257223666423859E-3</c:v>
                </c:pt>
                <c:pt idx="14" formatCode="0.0000">
                  <c:v>1.2857137663138281E-3</c:v>
                </c:pt>
              </c:numCache>
            </c:numRef>
          </c:xVal>
          <c:yVal>
            <c:numRef>
              <c:f>RESULTS!$N$11:$N$25</c:f>
              <c:numCache>
                <c:formatCode>0.0%</c:formatCode>
                <c:ptCount val="15"/>
                <c:pt idx="0">
                  <c:v>0.99025341130604294</c:v>
                </c:pt>
                <c:pt idx="1">
                  <c:v>0.95906432748537973</c:v>
                </c:pt>
                <c:pt idx="2">
                  <c:v>0.93762183235867369</c:v>
                </c:pt>
                <c:pt idx="3">
                  <c:v>0.70955165692007882</c:v>
                </c:pt>
                <c:pt idx="4">
                  <c:v>0.38596491228070262</c:v>
                </c:pt>
                <c:pt idx="5">
                  <c:v>0.30994152046783763</c:v>
                </c:pt>
                <c:pt idx="6">
                  <c:v>0.28849902534113159</c:v>
                </c:pt>
                <c:pt idx="7">
                  <c:v>0.11500974658869405</c:v>
                </c:pt>
                <c:pt idx="8">
                  <c:v>0.45620475019257511</c:v>
                </c:pt>
                <c:pt idx="9">
                  <c:v>0.42481277622110192</c:v>
                </c:pt>
                <c:pt idx="10">
                  <c:v>0.40911678923536543</c:v>
                </c:pt>
                <c:pt idx="11">
                  <c:v>0.37772481526388524</c:v>
                </c:pt>
                <c:pt idx="12">
                  <c:v>0.34633284129241204</c:v>
                </c:pt>
                <c:pt idx="13">
                  <c:v>0.3322140257404107</c:v>
                </c:pt>
                <c:pt idx="14">
                  <c:v>0.30831366639180491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1A71-46FB-B4D3-746D1DAD3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757568"/>
        <c:axId val="343759488"/>
      </c:scatterChart>
      <c:valAx>
        <c:axId val="343757568"/>
        <c:scaling>
          <c:logBase val="10"/>
          <c:orientation val="maxMin"/>
          <c:max val="1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Grain Size (mm)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43759488"/>
        <c:crosses val="autoZero"/>
        <c:crossBetween val="midCat"/>
      </c:valAx>
      <c:valAx>
        <c:axId val="343759488"/>
        <c:scaling>
          <c:orientation val="minMax"/>
          <c:max val="1"/>
          <c:min val="0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Percent Finer</a:t>
                </a:r>
              </a:p>
            </c:rich>
          </c:tx>
          <c:layout>
            <c:manualLayout>
              <c:xMode val="edge"/>
              <c:yMode val="edge"/>
              <c:x val="2.3060940076013624E-2"/>
              <c:y val="0.46479480252373789"/>
            </c:manualLayout>
          </c:layout>
          <c:overlay val="0"/>
        </c:title>
        <c:numFmt formatCode="0%" sourceLinked="0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43757568"/>
        <c:crossesAt val="1"/>
        <c:crossBetween val="midCat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1085850</xdr:colOff>
      <xdr:row>26</xdr:row>
      <xdr:rowOff>85725</xdr:rowOff>
    </xdr:from>
    <xdr:to>
      <xdr:col>7</xdr:col>
      <xdr:colOff>2066925</xdr:colOff>
      <xdr:row>28</xdr:row>
      <xdr:rowOff>21536</xdr:rowOff>
    </xdr:to>
    <xdr:pic>
      <xdr:nvPicPr>
        <xdr:cNvPr id="46101" name="Picture 1">
          <a:extLst>
            <a:ext uri="{FF2B5EF4-FFF2-40B4-BE49-F238E27FC236}">
              <a16:creationId xmlns:a16="http://schemas.microsoft.com/office/drawing/2014/main" xmlns="" id="{00000000-0008-0000-0200-000015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857750"/>
          <a:ext cx="2076450" cy="278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176834</xdr:colOff>
      <xdr:row>22</xdr:row>
      <xdr:rowOff>78271</xdr:rowOff>
    </xdr:from>
    <xdr:to>
      <xdr:col>22</xdr:col>
      <xdr:colOff>356981</xdr:colOff>
      <xdr:row>25</xdr:row>
      <xdr:rowOff>51352</xdr:rowOff>
    </xdr:to>
    <xdr:pic>
      <xdr:nvPicPr>
        <xdr:cNvPr id="46102" name="Picture 2">
          <a:extLst>
            <a:ext uri="{FF2B5EF4-FFF2-40B4-BE49-F238E27FC236}">
              <a16:creationId xmlns:a16="http://schemas.microsoft.com/office/drawing/2014/main" xmlns="" id="{00000000-0008-0000-0200-000016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138" y="4103619"/>
          <a:ext cx="2018886" cy="54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1685925</xdr:colOff>
      <xdr:row>26</xdr:row>
      <xdr:rowOff>19051</xdr:rowOff>
    </xdr:from>
    <xdr:to>
      <xdr:col>12</xdr:col>
      <xdr:colOff>66675</xdr:colOff>
      <xdr:row>27</xdr:row>
      <xdr:rowOff>124733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839950" y="4791076"/>
          <a:ext cx="866775" cy="277132"/>
        </a:xfrm>
        <a:prstGeom prst="rect">
          <a:avLst/>
        </a:prstGeom>
      </xdr:spPr>
    </xdr:pic>
    <xdr:clientData/>
  </xdr:twoCellAnchor>
  <xdr:twoCellAnchor>
    <xdr:from>
      <xdr:col>11</xdr:col>
      <xdr:colOff>57150</xdr:colOff>
      <xdr:row>28</xdr:row>
      <xdr:rowOff>85724</xdr:rowOff>
    </xdr:from>
    <xdr:to>
      <xdr:col>17</xdr:col>
      <xdr:colOff>333375</xdr:colOff>
      <xdr:row>43</xdr:row>
      <xdr:rowOff>66674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353410</xdr:colOff>
      <xdr:row>0</xdr:row>
      <xdr:rowOff>73572</xdr:rowOff>
    </xdr:from>
    <xdr:to>
      <xdr:col>20</xdr:col>
      <xdr:colOff>439135</xdr:colOff>
      <xdr:row>29</xdr:row>
      <xdr:rowOff>14123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247650</xdr:colOff>
      <xdr:row>43</xdr:row>
      <xdr:rowOff>9525</xdr:rowOff>
    </xdr:from>
    <xdr:to>
      <xdr:col>11</xdr:col>
      <xdr:colOff>447675</xdr:colOff>
      <xdr:row>60</xdr:row>
      <xdr:rowOff>76201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590550</xdr:colOff>
      <xdr:row>47</xdr:row>
      <xdr:rowOff>28575</xdr:rowOff>
    </xdr:from>
    <xdr:to>
      <xdr:col>8</xdr:col>
      <xdr:colOff>590550</xdr:colOff>
      <xdr:row>57</xdr:row>
      <xdr:rowOff>133350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CxnSpPr/>
      </xdr:nvCxnSpPr>
      <xdr:spPr>
        <a:xfrm>
          <a:off x="6153150" y="8543925"/>
          <a:ext cx="0" cy="2085975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21</xdr:col>
      <xdr:colOff>53422</xdr:colOff>
      <xdr:row>1</xdr:row>
      <xdr:rowOff>65017</xdr:rowOff>
    </xdr:from>
    <xdr:to>
      <xdr:col>24</xdr:col>
      <xdr:colOff>318466</xdr:colOff>
      <xdr:row>11</xdr:row>
      <xdr:rowOff>39920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45597" y="236467"/>
          <a:ext cx="2093844" cy="2041828"/>
        </a:xfrm>
        <a:prstGeom prst="rect">
          <a:avLst/>
        </a:prstGeom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0.25537</cdr:x>
      <cdr:y>0.18638</cdr:y>
    </cdr:from>
    <cdr:to>
      <cdr:x>0.29084</cdr:x>
      <cdr:y>0.24033</cdr:y>
    </cdr:to>
    <cdr:sp macro="" textlink="">
      <cdr:nvSpPr>
        <cdr:cNvPr id="7" name="TextBox 1"/>
        <cdr:cNvSpPr txBox="1"/>
      </cdr:nvSpPr>
      <cdr:spPr>
        <a:xfrm xmlns:a="http://schemas.openxmlformats.org/drawingml/2006/main" rot="16200000">
          <a:off x="1542330" y="1044774"/>
          <a:ext cx="291903" cy="2192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#10</a:t>
          </a:r>
        </a:p>
      </cdr:txBody>
    </cdr:sp>
  </cdr:relSizeAnchor>
  <cdr:relSizeAnchor xmlns:cdr="http://schemas.openxmlformats.org/drawingml/2006/chartDrawing">
    <cdr:from>
      <cdr:x>0.16286</cdr:x>
      <cdr:y>0.18339</cdr:y>
    </cdr:from>
    <cdr:to>
      <cdr:x>0.19782</cdr:x>
      <cdr:y>0.23735</cdr:y>
    </cdr:to>
    <cdr:sp macro="" textlink="">
      <cdr:nvSpPr>
        <cdr:cNvPr id="8" name="TextBox 1"/>
        <cdr:cNvSpPr txBox="1"/>
      </cdr:nvSpPr>
      <cdr:spPr>
        <a:xfrm xmlns:a="http://schemas.openxmlformats.org/drawingml/2006/main" rot="16200000">
          <a:off x="969079" y="1028067"/>
          <a:ext cx="291420" cy="216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#4</a:t>
          </a:r>
        </a:p>
      </cdr:txBody>
    </cdr:sp>
  </cdr:relSizeAnchor>
  <cdr:relSizeAnchor xmlns:cdr="http://schemas.openxmlformats.org/drawingml/2006/chartDrawing">
    <cdr:from>
      <cdr:x>0.11085</cdr:x>
      <cdr:y>0.19748</cdr:y>
    </cdr:from>
    <cdr:to>
      <cdr:x>0.14582</cdr:x>
      <cdr:y>0.25144</cdr:y>
    </cdr:to>
    <cdr:sp macro="" textlink="">
      <cdr:nvSpPr>
        <cdr:cNvPr id="9" name="TextBox 1"/>
        <cdr:cNvSpPr txBox="1"/>
      </cdr:nvSpPr>
      <cdr:spPr>
        <a:xfrm xmlns:a="http://schemas.openxmlformats.org/drawingml/2006/main" rot="16200000">
          <a:off x="647349" y="1106603"/>
          <a:ext cx="292008" cy="216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3/8 in</a:t>
          </a:r>
        </a:p>
        <a:p xmlns:a="http://schemas.openxmlformats.org/drawingml/2006/main">
          <a:endParaRPr lang="en-US" sz="800" baseline="0"/>
        </a:p>
      </cdr:txBody>
    </cdr:sp>
  </cdr:relSizeAnchor>
  <cdr:relSizeAnchor xmlns:cdr="http://schemas.openxmlformats.org/drawingml/2006/chartDrawing">
    <cdr:from>
      <cdr:x>0.49184</cdr:x>
      <cdr:y>0.20472</cdr:y>
    </cdr:from>
    <cdr:to>
      <cdr:x>0.52731</cdr:x>
      <cdr:y>0.25867</cdr:y>
    </cdr:to>
    <cdr:sp macro="" textlink="">
      <cdr:nvSpPr>
        <cdr:cNvPr id="11" name="TextBox 1"/>
        <cdr:cNvSpPr txBox="1"/>
      </cdr:nvSpPr>
      <cdr:spPr>
        <a:xfrm xmlns:a="http://schemas.openxmlformats.org/drawingml/2006/main" rot="16200000">
          <a:off x="3010575" y="1145687"/>
          <a:ext cx="292359" cy="2197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#100</a:t>
          </a:r>
        </a:p>
      </cdr:txBody>
    </cdr:sp>
  </cdr:relSizeAnchor>
  <cdr:relSizeAnchor xmlns:cdr="http://schemas.openxmlformats.org/drawingml/2006/chartDrawing">
    <cdr:from>
      <cdr:x>0.44653</cdr:x>
      <cdr:y>0.19562</cdr:y>
    </cdr:from>
    <cdr:to>
      <cdr:x>0.48174</cdr:x>
      <cdr:y>0.24958</cdr:y>
    </cdr:to>
    <cdr:sp macro="" textlink="">
      <cdr:nvSpPr>
        <cdr:cNvPr id="14" name="TextBox 1"/>
        <cdr:cNvSpPr txBox="1"/>
      </cdr:nvSpPr>
      <cdr:spPr>
        <a:xfrm xmlns:a="http://schemas.openxmlformats.org/drawingml/2006/main" rot="16200000">
          <a:off x="2729024" y="1097242"/>
          <a:ext cx="292413" cy="2181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#60</a:t>
          </a:r>
        </a:p>
      </cdr:txBody>
    </cdr:sp>
  </cdr:relSizeAnchor>
  <cdr:relSizeAnchor xmlns:cdr="http://schemas.openxmlformats.org/drawingml/2006/chartDrawing">
    <cdr:from>
      <cdr:x>0.55061</cdr:x>
      <cdr:y>0.20122</cdr:y>
    </cdr:from>
    <cdr:to>
      <cdr:x>0.58633</cdr:x>
      <cdr:y>0.24958</cdr:y>
    </cdr:to>
    <cdr:sp macro="" textlink="">
      <cdr:nvSpPr>
        <cdr:cNvPr id="15" name="TextBox 1"/>
        <cdr:cNvSpPr txBox="1"/>
      </cdr:nvSpPr>
      <cdr:spPr>
        <a:xfrm xmlns:a="http://schemas.openxmlformats.org/drawingml/2006/main" rot="16200000">
          <a:off x="3390568" y="1110839"/>
          <a:ext cx="262061" cy="221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#200</a:t>
          </a:r>
        </a:p>
      </cdr:txBody>
    </cdr:sp>
  </cdr:relSizeAnchor>
  <cdr:relSizeAnchor xmlns:cdr="http://schemas.openxmlformats.org/drawingml/2006/chartDrawing">
    <cdr:from>
      <cdr:x>0.47053</cdr:x>
      <cdr:y>0.19484</cdr:y>
    </cdr:from>
    <cdr:to>
      <cdr:x>0.506</cdr:x>
      <cdr:y>0.24879</cdr:y>
    </cdr:to>
    <cdr:sp macro="" textlink="">
      <cdr:nvSpPr>
        <cdr:cNvPr id="18" name="TextBox 1"/>
        <cdr:cNvSpPr txBox="1"/>
      </cdr:nvSpPr>
      <cdr:spPr>
        <a:xfrm xmlns:a="http://schemas.openxmlformats.org/drawingml/2006/main" rot="16200000">
          <a:off x="2878556" y="1092165"/>
          <a:ext cx="292359" cy="2197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#80</a:t>
          </a:r>
        </a:p>
      </cdr:txBody>
    </cdr:sp>
  </cdr:relSizeAnchor>
  <cdr:relSizeAnchor xmlns:cdr="http://schemas.openxmlformats.org/drawingml/2006/chartDrawing">
    <cdr:from>
      <cdr:x>0.2334</cdr:x>
      <cdr:y>0.1829</cdr:y>
    </cdr:from>
    <cdr:to>
      <cdr:x>0.26887</cdr:x>
      <cdr:y>0.23685</cdr:y>
    </cdr:to>
    <cdr:sp macro="" textlink="">
      <cdr:nvSpPr>
        <cdr:cNvPr id="19" name="TextBox 1"/>
        <cdr:cNvSpPr txBox="1"/>
      </cdr:nvSpPr>
      <cdr:spPr>
        <a:xfrm xmlns:a="http://schemas.openxmlformats.org/drawingml/2006/main" rot="16200000">
          <a:off x="1414032" y="1031546"/>
          <a:ext cx="293499" cy="220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#8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</xdr:colOff>
      <xdr:row>13</xdr:row>
      <xdr:rowOff>61911</xdr:rowOff>
    </xdr:from>
    <xdr:to>
      <xdr:col>6</xdr:col>
      <xdr:colOff>807243</xdr:colOff>
      <xdr:row>38</xdr:row>
      <xdr:rowOff>63033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123825</xdr:colOff>
      <xdr:row>0</xdr:row>
      <xdr:rowOff>0</xdr:rowOff>
    </xdr:from>
    <xdr:to>
      <xdr:col>4</xdr:col>
      <xdr:colOff>944587</xdr:colOff>
      <xdr:row>1</xdr:row>
      <xdr:rowOff>119380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7472" y="0"/>
          <a:ext cx="2600773" cy="702086"/>
        </a:xfrm>
        <a:prstGeom prst="rect">
          <a:avLst/>
        </a:prstGeom>
      </xdr:spPr>
    </xdr:pic>
    <xdr:clientData/>
  </xdr:twoCellAnchor>
  <xdr:twoCellAnchor editAs="oneCell">
    <xdr:from>
      <xdr:col>12</xdr:col>
      <xdr:colOff>156880</xdr:colOff>
      <xdr:row>0</xdr:row>
      <xdr:rowOff>11206</xdr:rowOff>
    </xdr:from>
    <xdr:to>
      <xdr:col>19</xdr:col>
      <xdr:colOff>653050</xdr:colOff>
      <xdr:row>1</xdr:row>
      <xdr:rowOff>130586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1693" y="11206"/>
          <a:ext cx="2615482" cy="702786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0.25537</cdr:x>
      <cdr:y>0.12032</cdr:y>
    </cdr:from>
    <cdr:to>
      <cdr:x>0.29084</cdr:x>
      <cdr:y>0.17427</cdr:y>
    </cdr:to>
    <cdr:sp macro="" textlink="">
      <cdr:nvSpPr>
        <cdr:cNvPr id="7" name="TextBox 1"/>
        <cdr:cNvSpPr txBox="1"/>
      </cdr:nvSpPr>
      <cdr:spPr>
        <a:xfrm xmlns:a="http://schemas.openxmlformats.org/drawingml/2006/main" rot="16200000">
          <a:off x="1552055" y="798496"/>
          <a:ext cx="333357" cy="223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#10</a:t>
          </a:r>
        </a:p>
      </cdr:txBody>
    </cdr:sp>
  </cdr:relSizeAnchor>
  <cdr:relSizeAnchor xmlns:cdr="http://schemas.openxmlformats.org/drawingml/2006/chartDrawing">
    <cdr:from>
      <cdr:x>0.16286</cdr:x>
      <cdr:y>0.11733</cdr:y>
    </cdr:from>
    <cdr:to>
      <cdr:x>0.19782</cdr:x>
      <cdr:y>0.17129</cdr:y>
    </cdr:to>
    <cdr:sp macro="" textlink="">
      <cdr:nvSpPr>
        <cdr:cNvPr id="8" name="TextBox 1"/>
        <cdr:cNvSpPr txBox="1"/>
      </cdr:nvSpPr>
      <cdr:spPr>
        <a:xfrm xmlns:a="http://schemas.openxmlformats.org/drawingml/2006/main" rot="16200000">
          <a:off x="968225" y="781656"/>
          <a:ext cx="333419" cy="2200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#4</a:t>
          </a:r>
        </a:p>
      </cdr:txBody>
    </cdr:sp>
  </cdr:relSizeAnchor>
  <cdr:relSizeAnchor xmlns:cdr="http://schemas.openxmlformats.org/drawingml/2006/chartDrawing">
    <cdr:from>
      <cdr:x>0.11085</cdr:x>
      <cdr:y>0.13142</cdr:y>
    </cdr:from>
    <cdr:to>
      <cdr:x>0.14582</cdr:x>
      <cdr:y>0.18538</cdr:y>
    </cdr:to>
    <cdr:sp macro="" textlink="">
      <cdr:nvSpPr>
        <cdr:cNvPr id="9" name="TextBox 1"/>
        <cdr:cNvSpPr txBox="1"/>
      </cdr:nvSpPr>
      <cdr:spPr>
        <a:xfrm xmlns:a="http://schemas.openxmlformats.org/drawingml/2006/main" rot="16200000">
          <a:off x="640943" y="868687"/>
          <a:ext cx="333419" cy="220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3/8 in</a:t>
          </a:r>
        </a:p>
        <a:p xmlns:a="http://schemas.openxmlformats.org/drawingml/2006/main">
          <a:endParaRPr lang="en-US" sz="800" baseline="0"/>
        </a:p>
      </cdr:txBody>
    </cdr:sp>
  </cdr:relSizeAnchor>
  <cdr:relSizeAnchor xmlns:cdr="http://schemas.openxmlformats.org/drawingml/2006/chartDrawing">
    <cdr:from>
      <cdr:x>0.49184</cdr:x>
      <cdr:y>0.13513</cdr:y>
    </cdr:from>
    <cdr:to>
      <cdr:x>0.52731</cdr:x>
      <cdr:y>0.18908</cdr:y>
    </cdr:to>
    <cdr:sp macro="" textlink="">
      <cdr:nvSpPr>
        <cdr:cNvPr id="11" name="TextBox 1"/>
        <cdr:cNvSpPr txBox="1"/>
      </cdr:nvSpPr>
      <cdr:spPr>
        <a:xfrm xmlns:a="http://schemas.openxmlformats.org/drawingml/2006/main" rot="16200000">
          <a:off x="3040232" y="890046"/>
          <a:ext cx="333358" cy="223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#100</a:t>
          </a:r>
        </a:p>
      </cdr:txBody>
    </cdr:sp>
  </cdr:relSizeAnchor>
  <cdr:relSizeAnchor xmlns:cdr="http://schemas.openxmlformats.org/drawingml/2006/chartDrawing">
    <cdr:from>
      <cdr:x>0.44653</cdr:x>
      <cdr:y>0.12603</cdr:y>
    </cdr:from>
    <cdr:to>
      <cdr:x>0.48174</cdr:x>
      <cdr:y>0.17999</cdr:y>
    </cdr:to>
    <cdr:sp macro="" textlink="">
      <cdr:nvSpPr>
        <cdr:cNvPr id="14" name="TextBox 1"/>
        <cdr:cNvSpPr txBox="1"/>
      </cdr:nvSpPr>
      <cdr:spPr>
        <a:xfrm xmlns:a="http://schemas.openxmlformats.org/drawingml/2006/main" rot="16200000">
          <a:off x="2754233" y="834667"/>
          <a:ext cx="333419" cy="2215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#60</a:t>
          </a:r>
        </a:p>
      </cdr:txBody>
    </cdr:sp>
  </cdr:relSizeAnchor>
  <cdr:relSizeAnchor xmlns:cdr="http://schemas.openxmlformats.org/drawingml/2006/chartDrawing">
    <cdr:from>
      <cdr:x>0.55061</cdr:x>
      <cdr:y>0.13163</cdr:y>
    </cdr:from>
    <cdr:to>
      <cdr:x>0.58633</cdr:x>
      <cdr:y>0.17999</cdr:y>
    </cdr:to>
    <cdr:sp macro="" textlink="">
      <cdr:nvSpPr>
        <cdr:cNvPr id="15" name="TextBox 1"/>
        <cdr:cNvSpPr txBox="1"/>
      </cdr:nvSpPr>
      <cdr:spPr>
        <a:xfrm xmlns:a="http://schemas.openxmlformats.org/drawingml/2006/main" rot="16200000">
          <a:off x="3428146" y="850363"/>
          <a:ext cx="298817" cy="2247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#200</a:t>
          </a:r>
        </a:p>
      </cdr:txBody>
    </cdr:sp>
  </cdr:relSizeAnchor>
  <cdr:relSizeAnchor xmlns:cdr="http://schemas.openxmlformats.org/drawingml/2006/chartDrawing">
    <cdr:from>
      <cdr:x>0.47053</cdr:x>
      <cdr:y>0.12525</cdr:y>
    </cdr:from>
    <cdr:to>
      <cdr:x>0.506</cdr:x>
      <cdr:y>0.1792</cdr:y>
    </cdr:to>
    <cdr:sp macro="" textlink="">
      <cdr:nvSpPr>
        <cdr:cNvPr id="18" name="TextBox 1"/>
        <cdr:cNvSpPr txBox="1"/>
      </cdr:nvSpPr>
      <cdr:spPr>
        <a:xfrm xmlns:a="http://schemas.openxmlformats.org/drawingml/2006/main" rot="16200000">
          <a:off x="2906121" y="828998"/>
          <a:ext cx="333357" cy="223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#80</a:t>
          </a:r>
        </a:p>
      </cdr:txBody>
    </cdr:sp>
  </cdr:relSizeAnchor>
  <cdr:relSizeAnchor xmlns:cdr="http://schemas.openxmlformats.org/drawingml/2006/chartDrawing">
    <cdr:from>
      <cdr:x>0.2334</cdr:x>
      <cdr:y>0.11684</cdr:y>
    </cdr:from>
    <cdr:to>
      <cdr:x>0.26887</cdr:x>
      <cdr:y>0.17079</cdr:y>
    </cdr:to>
    <cdr:sp macro="" textlink="">
      <cdr:nvSpPr>
        <cdr:cNvPr id="19" name="TextBox 1"/>
        <cdr:cNvSpPr txBox="1"/>
      </cdr:nvSpPr>
      <cdr:spPr>
        <a:xfrm xmlns:a="http://schemas.openxmlformats.org/drawingml/2006/main" rot="16200000">
          <a:off x="1413791" y="776993"/>
          <a:ext cx="333357" cy="223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#8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</xdr:colOff>
      <xdr:row>0</xdr:row>
      <xdr:rowOff>0</xdr:rowOff>
    </xdr:from>
    <xdr:to>
      <xdr:col>23</xdr:col>
      <xdr:colOff>597144</xdr:colOff>
      <xdr:row>32</xdr:row>
      <xdr:rowOff>389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0.25537</cdr:x>
      <cdr:y>0.12032</cdr:y>
    </cdr:from>
    <cdr:to>
      <cdr:x>0.29084</cdr:x>
      <cdr:y>0.17427</cdr:y>
    </cdr:to>
    <cdr:sp macro="" textlink="">
      <cdr:nvSpPr>
        <cdr:cNvPr id="7" name="TextBox 1"/>
        <cdr:cNvSpPr txBox="1"/>
      </cdr:nvSpPr>
      <cdr:spPr>
        <a:xfrm xmlns:a="http://schemas.openxmlformats.org/drawingml/2006/main" rot="16200000">
          <a:off x="1552055" y="798496"/>
          <a:ext cx="333357" cy="223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#10</a:t>
          </a:r>
        </a:p>
      </cdr:txBody>
    </cdr:sp>
  </cdr:relSizeAnchor>
  <cdr:relSizeAnchor xmlns:cdr="http://schemas.openxmlformats.org/drawingml/2006/chartDrawing">
    <cdr:from>
      <cdr:x>0.16286</cdr:x>
      <cdr:y>0.11733</cdr:y>
    </cdr:from>
    <cdr:to>
      <cdr:x>0.19782</cdr:x>
      <cdr:y>0.17129</cdr:y>
    </cdr:to>
    <cdr:sp macro="" textlink="">
      <cdr:nvSpPr>
        <cdr:cNvPr id="8" name="TextBox 1"/>
        <cdr:cNvSpPr txBox="1"/>
      </cdr:nvSpPr>
      <cdr:spPr>
        <a:xfrm xmlns:a="http://schemas.openxmlformats.org/drawingml/2006/main" rot="16200000">
          <a:off x="968225" y="781656"/>
          <a:ext cx="333419" cy="2200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#4</a:t>
          </a:r>
        </a:p>
      </cdr:txBody>
    </cdr:sp>
  </cdr:relSizeAnchor>
  <cdr:relSizeAnchor xmlns:cdr="http://schemas.openxmlformats.org/drawingml/2006/chartDrawing">
    <cdr:from>
      <cdr:x>0.11085</cdr:x>
      <cdr:y>0.13142</cdr:y>
    </cdr:from>
    <cdr:to>
      <cdr:x>0.14582</cdr:x>
      <cdr:y>0.18538</cdr:y>
    </cdr:to>
    <cdr:sp macro="" textlink="">
      <cdr:nvSpPr>
        <cdr:cNvPr id="9" name="TextBox 1"/>
        <cdr:cNvSpPr txBox="1"/>
      </cdr:nvSpPr>
      <cdr:spPr>
        <a:xfrm xmlns:a="http://schemas.openxmlformats.org/drawingml/2006/main" rot="16200000">
          <a:off x="640943" y="868687"/>
          <a:ext cx="333419" cy="220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3/8 in</a:t>
          </a:r>
        </a:p>
        <a:p xmlns:a="http://schemas.openxmlformats.org/drawingml/2006/main">
          <a:endParaRPr lang="en-US" sz="800" baseline="0"/>
        </a:p>
      </cdr:txBody>
    </cdr:sp>
  </cdr:relSizeAnchor>
  <cdr:relSizeAnchor xmlns:cdr="http://schemas.openxmlformats.org/drawingml/2006/chartDrawing">
    <cdr:from>
      <cdr:x>0.49184</cdr:x>
      <cdr:y>0.13513</cdr:y>
    </cdr:from>
    <cdr:to>
      <cdr:x>0.52731</cdr:x>
      <cdr:y>0.18908</cdr:y>
    </cdr:to>
    <cdr:sp macro="" textlink="">
      <cdr:nvSpPr>
        <cdr:cNvPr id="11" name="TextBox 1"/>
        <cdr:cNvSpPr txBox="1"/>
      </cdr:nvSpPr>
      <cdr:spPr>
        <a:xfrm xmlns:a="http://schemas.openxmlformats.org/drawingml/2006/main" rot="16200000">
          <a:off x="3040232" y="890046"/>
          <a:ext cx="333358" cy="223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#100</a:t>
          </a:r>
        </a:p>
      </cdr:txBody>
    </cdr:sp>
  </cdr:relSizeAnchor>
  <cdr:relSizeAnchor xmlns:cdr="http://schemas.openxmlformats.org/drawingml/2006/chartDrawing">
    <cdr:from>
      <cdr:x>0.44653</cdr:x>
      <cdr:y>0.12603</cdr:y>
    </cdr:from>
    <cdr:to>
      <cdr:x>0.48174</cdr:x>
      <cdr:y>0.17999</cdr:y>
    </cdr:to>
    <cdr:sp macro="" textlink="">
      <cdr:nvSpPr>
        <cdr:cNvPr id="14" name="TextBox 1"/>
        <cdr:cNvSpPr txBox="1"/>
      </cdr:nvSpPr>
      <cdr:spPr>
        <a:xfrm xmlns:a="http://schemas.openxmlformats.org/drawingml/2006/main" rot="16200000">
          <a:off x="2754233" y="834667"/>
          <a:ext cx="333419" cy="2215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#60</a:t>
          </a:r>
        </a:p>
      </cdr:txBody>
    </cdr:sp>
  </cdr:relSizeAnchor>
  <cdr:relSizeAnchor xmlns:cdr="http://schemas.openxmlformats.org/drawingml/2006/chartDrawing">
    <cdr:from>
      <cdr:x>0.55061</cdr:x>
      <cdr:y>0.13163</cdr:y>
    </cdr:from>
    <cdr:to>
      <cdr:x>0.58633</cdr:x>
      <cdr:y>0.17999</cdr:y>
    </cdr:to>
    <cdr:sp macro="" textlink="">
      <cdr:nvSpPr>
        <cdr:cNvPr id="15" name="TextBox 1"/>
        <cdr:cNvSpPr txBox="1"/>
      </cdr:nvSpPr>
      <cdr:spPr>
        <a:xfrm xmlns:a="http://schemas.openxmlformats.org/drawingml/2006/main" rot="16200000">
          <a:off x="3428146" y="850363"/>
          <a:ext cx="298817" cy="2247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#200</a:t>
          </a:r>
        </a:p>
      </cdr:txBody>
    </cdr:sp>
  </cdr:relSizeAnchor>
  <cdr:relSizeAnchor xmlns:cdr="http://schemas.openxmlformats.org/drawingml/2006/chartDrawing">
    <cdr:from>
      <cdr:x>0.47053</cdr:x>
      <cdr:y>0.12525</cdr:y>
    </cdr:from>
    <cdr:to>
      <cdr:x>0.506</cdr:x>
      <cdr:y>0.1792</cdr:y>
    </cdr:to>
    <cdr:sp macro="" textlink="">
      <cdr:nvSpPr>
        <cdr:cNvPr id="18" name="TextBox 1"/>
        <cdr:cNvSpPr txBox="1"/>
      </cdr:nvSpPr>
      <cdr:spPr>
        <a:xfrm xmlns:a="http://schemas.openxmlformats.org/drawingml/2006/main" rot="16200000">
          <a:off x="2906121" y="828998"/>
          <a:ext cx="333357" cy="223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#80</a:t>
          </a:r>
        </a:p>
      </cdr:txBody>
    </cdr:sp>
  </cdr:relSizeAnchor>
  <cdr:relSizeAnchor xmlns:cdr="http://schemas.openxmlformats.org/drawingml/2006/chartDrawing">
    <cdr:from>
      <cdr:x>0.2334</cdr:x>
      <cdr:y>0.11684</cdr:y>
    </cdr:from>
    <cdr:to>
      <cdr:x>0.26887</cdr:x>
      <cdr:y>0.17079</cdr:y>
    </cdr:to>
    <cdr:sp macro="" textlink="">
      <cdr:nvSpPr>
        <cdr:cNvPr id="19" name="TextBox 1"/>
        <cdr:cNvSpPr txBox="1"/>
      </cdr:nvSpPr>
      <cdr:spPr>
        <a:xfrm xmlns:a="http://schemas.openxmlformats.org/drawingml/2006/main" rot="16200000">
          <a:off x="1413791" y="776993"/>
          <a:ext cx="333357" cy="223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aseline="0"/>
            <a:t>#8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506-01%20KSH%20Testing%20for%20Dorris%20Dam/testing/ASTM%20D422%20Test%20%236%2017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ombined Data"/>
      <sheetName val="Retained #10 Sieve"/>
      <sheetName val="Passing #10 Sieve"/>
      <sheetName val="TOTALS"/>
    </sheetNames>
    <sheetDataSet>
      <sheetData sheetId="0"/>
      <sheetData sheetId="1"/>
      <sheetData sheetId="2"/>
      <sheetData sheetId="3"/>
      <sheetData sheetId="4">
        <row r="33">
          <cell r="AE33" t="str">
            <v>PORTION PASSING #40</v>
          </cell>
        </row>
        <row r="35">
          <cell r="AF35"/>
          <cell r="AG35">
            <v>1</v>
          </cell>
        </row>
        <row r="36">
          <cell r="AF36">
            <v>0.29699999999999999</v>
          </cell>
          <cell r="AG36">
            <v>0.86403044786359651</v>
          </cell>
        </row>
        <row r="37">
          <cell r="AF37">
            <v>0.14899999999999999</v>
          </cell>
          <cell r="AG37">
            <v>0.76306295865339591</v>
          </cell>
        </row>
        <row r="38">
          <cell r="AF38">
            <v>7.3999999999999996E-2</v>
          </cell>
          <cell r="AG38">
            <v>0.71055986426409157</v>
          </cell>
        </row>
        <row r="39">
          <cell r="AF39">
            <v>3.2660537885956499E-2</v>
          </cell>
          <cell r="AG39">
            <v>0.13740239837283111</v>
          </cell>
        </row>
        <row r="40">
          <cell r="AF40">
            <v>2.0906726860032393E-2</v>
          </cell>
          <cell r="AG40">
            <v>0.1309844519520201</v>
          </cell>
        </row>
        <row r="41">
          <cell r="AF41">
            <v>1.2213355558567842E-2</v>
          </cell>
          <cell r="AG41">
            <v>0.11814855911039812</v>
          </cell>
        </row>
        <row r="42">
          <cell r="AF42">
            <v>8.7028359171019646E-3</v>
          </cell>
          <cell r="AG42">
            <v>0.10531266626877329</v>
          </cell>
        </row>
        <row r="43">
          <cell r="AF43">
            <v>6.1538342925366455E-3</v>
          </cell>
          <cell r="AG43">
            <v>9.9040582266617522E-2</v>
          </cell>
        </row>
        <row r="44">
          <cell r="AF44">
            <v>3.083017956483549E-3</v>
          </cell>
          <cell r="AG44">
            <v>7.3806383839333592E-2</v>
          </cell>
        </row>
        <row r="45">
          <cell r="AF45">
            <v>1.3243904677666294E-3</v>
          </cell>
          <cell r="AG45">
            <v>5.7032205694031279E-2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55"/>
  <sheetViews>
    <sheetView workbookViewId="0">
      <selection activeCell="B6" sqref="B6"/>
    </sheetView>
  </sheetViews>
  <sheetFormatPr defaultRowHeight="12.75" x14ac:dyDescent="0.2"/>
  <cols>
    <col min="1" max="1" width="22.5703125" style="2" bestFit="1" customWidth="1"/>
    <col min="2" max="2" width="14.85546875" style="2" bestFit="1" customWidth="1"/>
    <col min="3" max="4" width="13.85546875" style="2" bestFit="1" customWidth="1"/>
    <col min="5" max="5" width="29.85546875" style="2" bestFit="1" customWidth="1"/>
    <col min="6" max="6" width="17.85546875" style="2" customWidth="1"/>
    <col min="7" max="7" width="15.28515625" style="2" customWidth="1"/>
    <col min="8" max="8" width="9.140625" style="2"/>
    <col min="9" max="9" width="15.7109375" style="2" customWidth="1"/>
    <col min="10" max="10" width="18.28515625" style="2" customWidth="1"/>
    <col min="11" max="16384" width="9.140625" style="2"/>
  </cols>
  <sheetData>
    <row r="1" spans="1:16" x14ac:dyDescent="0.2">
      <c r="A1" s="206" t="s">
        <v>206</v>
      </c>
      <c r="B1" s="289">
        <f>D1/3.79</f>
        <v>8.1345646437994716</v>
      </c>
      <c r="C1" s="206" t="s">
        <v>207</v>
      </c>
      <c r="D1" s="198">
        <f>15.215+15.615</f>
        <v>30.83</v>
      </c>
      <c r="E1" s="198" t="s">
        <v>222</v>
      </c>
      <c r="F1" s="6"/>
      <c r="G1" s="6"/>
      <c r="H1" s="6"/>
      <c r="I1" s="6"/>
    </row>
    <row r="2" spans="1:16" x14ac:dyDescent="0.2">
      <c r="A2" s="206" t="s">
        <v>206</v>
      </c>
      <c r="B2" s="281">
        <f>B1/7.48052</f>
        <v>1.0874330452695096</v>
      </c>
      <c r="C2" s="282" t="s">
        <v>208</v>
      </c>
      <c r="D2" s="252"/>
      <c r="E2" s="252"/>
      <c r="F2" s="5"/>
      <c r="G2" s="5"/>
      <c r="H2" s="5"/>
      <c r="I2" s="5"/>
    </row>
    <row r="3" spans="1:16" x14ac:dyDescent="0.2">
      <c r="A3" s="282" t="s">
        <v>209</v>
      </c>
      <c r="B3" s="282">
        <v>62.4</v>
      </c>
      <c r="C3" s="282" t="s">
        <v>210</v>
      </c>
      <c r="D3" s="254"/>
      <c r="E3" s="254"/>
      <c r="F3" s="5"/>
      <c r="G3" s="5"/>
      <c r="H3" s="5"/>
      <c r="I3" s="5"/>
    </row>
    <row r="4" spans="1:16" x14ac:dyDescent="0.2">
      <c r="A4" s="283" t="s">
        <v>211</v>
      </c>
      <c r="B4" s="284">
        <f>B3*B2</f>
        <v>67.8558220248174</v>
      </c>
      <c r="C4" s="283" t="s">
        <v>212</v>
      </c>
    </row>
    <row r="5" spans="1:16" x14ac:dyDescent="0.2">
      <c r="A5" s="258"/>
      <c r="B5" s="206"/>
      <c r="D5" s="257"/>
      <c r="E5" s="258"/>
    </row>
    <row r="6" spans="1:16" x14ac:dyDescent="0.2">
      <c r="A6" s="283" t="s">
        <v>213</v>
      </c>
      <c r="B6" s="269">
        <f>'Retained #10 Sieve'!C19</f>
        <v>48.100000000000023</v>
      </c>
      <c r="C6" s="269" t="s">
        <v>5</v>
      </c>
      <c r="D6" s="257"/>
      <c r="E6" s="258"/>
    </row>
    <row r="7" spans="1:16" x14ac:dyDescent="0.2">
      <c r="A7" s="283" t="s">
        <v>214</v>
      </c>
      <c r="B7" s="269">
        <f>B8-B6</f>
        <v>3.1999999999999744</v>
      </c>
      <c r="C7" s="269" t="s">
        <v>5</v>
      </c>
      <c r="D7" s="257"/>
      <c r="E7" s="258"/>
    </row>
    <row r="8" spans="1:16" x14ac:dyDescent="0.2">
      <c r="A8" s="285" t="s">
        <v>215</v>
      </c>
      <c r="B8" s="286">
        <v>51.3</v>
      </c>
      <c r="C8" s="269" t="s">
        <v>5</v>
      </c>
      <c r="D8" s="257"/>
      <c r="E8" s="258"/>
    </row>
    <row r="9" spans="1:16" x14ac:dyDescent="0.2">
      <c r="A9" s="210"/>
      <c r="D9" s="257"/>
      <c r="E9" s="210"/>
    </row>
    <row r="10" spans="1:16" x14ac:dyDescent="0.2">
      <c r="A10" s="283" t="s">
        <v>213</v>
      </c>
      <c r="B10" s="287">
        <f>CONVERT(B6,"g","lbm")</f>
        <v>0.10604234811092617</v>
      </c>
      <c r="C10" s="269" t="s">
        <v>212</v>
      </c>
      <c r="D10" s="257"/>
      <c r="E10" s="210"/>
    </row>
    <row r="11" spans="1:16" x14ac:dyDescent="0.2">
      <c r="A11" s="283" t="s">
        <v>214</v>
      </c>
      <c r="B11" s="287">
        <f t="shared" ref="B11:B12" si="0">CONVERT(B7,"g","lbm")</f>
        <v>7.0547923899160255E-3</v>
      </c>
      <c r="C11" s="269" t="s">
        <v>212</v>
      </c>
      <c r="D11" s="257"/>
      <c r="E11" s="210"/>
    </row>
    <row r="12" spans="1:16" x14ac:dyDescent="0.2">
      <c r="A12" s="285" t="s">
        <v>215</v>
      </c>
      <c r="B12" s="287">
        <f t="shared" si="0"/>
        <v>0.11309714050084219</v>
      </c>
      <c r="C12" s="269" t="s">
        <v>212</v>
      </c>
      <c r="D12" s="257"/>
      <c r="E12" s="210"/>
    </row>
    <row r="13" spans="1:16" x14ac:dyDescent="0.2">
      <c r="A13" s="285"/>
      <c r="B13" s="286"/>
      <c r="C13" s="269"/>
      <c r="D13" s="257"/>
      <c r="E13" s="210"/>
      <c r="O13" s="261"/>
    </row>
    <row r="14" spans="1:16" ht="15.75" x14ac:dyDescent="0.25">
      <c r="A14" s="285" t="s">
        <v>216</v>
      </c>
      <c r="B14" s="288">
        <f>B10/($B$4+$B$12)</f>
        <v>1.5601593995191148E-3</v>
      </c>
      <c r="C14" s="269"/>
      <c r="D14" s="257"/>
      <c r="E14" s="210"/>
      <c r="O14" s="262"/>
      <c r="P14" s="263"/>
    </row>
    <row r="15" spans="1:16" x14ac:dyDescent="0.2">
      <c r="A15" s="285" t="s">
        <v>217</v>
      </c>
      <c r="B15" s="288">
        <f t="shared" ref="B15:B16" si="1">B11/($B$4+$B$12)</f>
        <v>1.0379438832559511E-4</v>
      </c>
      <c r="C15" s="269"/>
      <c r="D15" s="257"/>
      <c r="E15" s="210"/>
      <c r="O15" s="264"/>
      <c r="P15" s="265"/>
    </row>
    <row r="16" spans="1:16" x14ac:dyDescent="0.2">
      <c r="A16" s="285" t="s">
        <v>218</v>
      </c>
      <c r="B16" s="288">
        <f t="shared" si="1"/>
        <v>1.66395378784471E-3</v>
      </c>
      <c r="C16" s="269"/>
      <c r="D16" s="257"/>
      <c r="E16" s="210"/>
      <c r="O16" s="264"/>
      <c r="P16" s="265"/>
    </row>
    <row r="17" spans="1:16" ht="15.75" x14ac:dyDescent="0.25">
      <c r="O17" s="262"/>
      <c r="P17" s="265"/>
    </row>
    <row r="18" spans="1:16" ht="15.75" x14ac:dyDescent="0.25">
      <c r="A18" s="16"/>
      <c r="B18" s="13"/>
      <c r="C18" s="266"/>
      <c r="O18" s="262"/>
      <c r="P18" s="265"/>
    </row>
    <row r="19" spans="1:16" ht="15.75" x14ac:dyDescent="0.25">
      <c r="A19" s="16"/>
      <c r="B19" s="13"/>
      <c r="C19" s="15"/>
      <c r="O19" s="262"/>
      <c r="P19" s="265"/>
    </row>
    <row r="20" spans="1:16" ht="15.75" x14ac:dyDescent="0.25">
      <c r="O20" s="267"/>
      <c r="P20" s="265"/>
    </row>
    <row r="21" spans="1:16" ht="15.75" x14ac:dyDescent="0.25">
      <c r="O21" s="267"/>
      <c r="P21" s="265"/>
    </row>
    <row r="22" spans="1:16" ht="15.75" x14ac:dyDescent="0.25">
      <c r="A22" s="278"/>
      <c r="B22" s="278"/>
      <c r="C22" s="6"/>
      <c r="D22" s="6"/>
      <c r="F22" s="6"/>
      <c r="G22" s="6"/>
      <c r="H22" s="6"/>
      <c r="I22" s="6"/>
      <c r="J22" s="253"/>
      <c r="K22" s="253"/>
      <c r="L22" s="253"/>
      <c r="M22" s="253"/>
      <c r="N22" s="253"/>
      <c r="O22" s="262"/>
      <c r="P22" s="265"/>
    </row>
    <row r="23" spans="1:16" x14ac:dyDescent="0.2">
      <c r="F23" s="6"/>
      <c r="G23" s="6"/>
      <c r="H23" s="6"/>
      <c r="I23" s="6"/>
    </row>
    <row r="24" spans="1:16" ht="15.75" x14ac:dyDescent="0.25">
      <c r="A24" s="268"/>
      <c r="F24" s="6"/>
      <c r="G24" s="6"/>
      <c r="H24" s="6"/>
      <c r="I24" s="6"/>
    </row>
    <row r="25" spans="1:16" x14ac:dyDescent="0.2">
      <c r="A25" s="253"/>
      <c r="B25" s="252"/>
      <c r="C25" s="252"/>
      <c r="D25" s="252"/>
      <c r="E25" s="279"/>
      <c r="F25" s="252"/>
      <c r="G25" s="280"/>
      <c r="H25" s="279"/>
      <c r="I25" s="279"/>
      <c r="J25" s="279"/>
    </row>
    <row r="26" spans="1:16" x14ac:dyDescent="0.2">
      <c r="A26" s="254"/>
      <c r="B26" s="254"/>
      <c r="C26" s="254"/>
      <c r="D26" s="254"/>
      <c r="E26" s="279"/>
      <c r="F26" s="254"/>
      <c r="G26" s="280"/>
      <c r="H26" s="279"/>
      <c r="I26" s="279"/>
      <c r="J26" s="279"/>
    </row>
    <row r="27" spans="1:16" x14ac:dyDescent="0.2">
      <c r="A27" s="254"/>
      <c r="B27" s="252"/>
      <c r="C27" s="252"/>
      <c r="D27" s="252"/>
      <c r="E27" s="279"/>
      <c r="F27" s="252"/>
      <c r="G27" s="280"/>
      <c r="H27" s="279"/>
      <c r="I27" s="279"/>
      <c r="J27" s="279"/>
    </row>
    <row r="28" spans="1:16" x14ac:dyDescent="0.2">
      <c r="A28" s="254"/>
      <c r="B28" s="5"/>
      <c r="C28" s="5"/>
      <c r="D28" s="5"/>
      <c r="E28" s="279"/>
      <c r="F28" s="5"/>
      <c r="G28" s="280"/>
      <c r="H28" s="279"/>
      <c r="I28" s="279"/>
      <c r="J28" s="279"/>
    </row>
    <row r="29" spans="1:16" x14ac:dyDescent="0.2">
      <c r="A29" s="255"/>
      <c r="B29" s="269"/>
      <c r="C29" s="270"/>
      <c r="D29" s="270"/>
      <c r="E29" s="270"/>
      <c r="F29" s="270"/>
      <c r="G29" s="271"/>
      <c r="H29" s="256"/>
      <c r="I29" s="272"/>
      <c r="J29" s="273"/>
    </row>
    <row r="30" spans="1:16" x14ac:dyDescent="0.2">
      <c r="A30" s="255"/>
      <c r="B30" s="256"/>
      <c r="C30" s="270"/>
      <c r="D30" s="270"/>
      <c r="E30" s="270"/>
      <c r="F30" s="270"/>
      <c r="G30" s="271"/>
      <c r="H30" s="256"/>
      <c r="I30" s="272"/>
      <c r="J30" s="273"/>
    </row>
    <row r="31" spans="1:16" x14ac:dyDescent="0.2">
      <c r="A31" s="255"/>
      <c r="B31" s="256"/>
      <c r="C31" s="270"/>
      <c r="D31" s="270"/>
      <c r="E31" s="270"/>
      <c r="F31" s="270"/>
      <c r="G31" s="271"/>
      <c r="H31" s="256"/>
      <c r="I31" s="272"/>
      <c r="J31" s="273"/>
    </row>
    <row r="32" spans="1:16" x14ac:dyDescent="0.2">
      <c r="A32" s="259"/>
      <c r="B32" s="260"/>
      <c r="C32" s="270"/>
      <c r="D32" s="270"/>
      <c r="E32" s="270"/>
      <c r="F32" s="270"/>
      <c r="G32" s="271"/>
      <c r="H32" s="256"/>
      <c r="I32" s="272"/>
      <c r="J32" s="273"/>
    </row>
    <row r="33" spans="1:10" x14ac:dyDescent="0.2">
      <c r="A33" s="259"/>
      <c r="B33" s="260"/>
      <c r="C33" s="270"/>
      <c r="D33" s="270"/>
      <c r="E33" s="270"/>
      <c r="F33" s="270"/>
      <c r="G33" s="271"/>
      <c r="H33" s="256"/>
      <c r="I33" s="272"/>
      <c r="J33" s="273"/>
    </row>
    <row r="34" spans="1:10" x14ac:dyDescent="0.2">
      <c r="A34" s="259"/>
      <c r="B34" s="260"/>
      <c r="C34" s="270"/>
      <c r="D34" s="270"/>
      <c r="E34" s="270"/>
      <c r="F34" s="270"/>
      <c r="G34" s="271"/>
      <c r="H34" s="256"/>
      <c r="I34" s="272"/>
      <c r="J34" s="273"/>
    </row>
    <row r="35" spans="1:10" x14ac:dyDescent="0.2">
      <c r="A35" s="259"/>
      <c r="B35" s="260"/>
      <c r="C35" s="270"/>
      <c r="D35" s="270"/>
      <c r="E35" s="270"/>
      <c r="F35" s="270"/>
      <c r="G35" s="271"/>
      <c r="H35" s="256"/>
      <c r="I35" s="272"/>
      <c r="J35" s="273"/>
    </row>
    <row r="36" spans="1:10" ht="15.75" x14ac:dyDescent="0.25">
      <c r="A36" s="274"/>
      <c r="B36" s="6"/>
      <c r="C36" s="6"/>
      <c r="D36" s="6"/>
      <c r="E36" s="6"/>
    </row>
    <row r="37" spans="1:10" x14ac:dyDescent="0.2">
      <c r="A37" s="25"/>
      <c r="B37" s="275"/>
      <c r="C37" s="275"/>
    </row>
    <row r="38" spans="1:10" x14ac:dyDescent="0.2">
      <c r="A38" s="27"/>
      <c r="B38" s="91"/>
      <c r="C38" s="33"/>
      <c r="D38" s="21"/>
    </row>
    <row r="39" spans="1:10" ht="14.25" x14ac:dyDescent="0.2">
      <c r="A39" s="27"/>
      <c r="B39" s="20"/>
      <c r="C39" s="33"/>
      <c r="D39" s="13"/>
      <c r="F39" s="276"/>
      <c r="G39" s="276"/>
      <c r="H39" s="276"/>
      <c r="J39" s="276"/>
    </row>
    <row r="40" spans="1:10" x14ac:dyDescent="0.2">
      <c r="A40" s="28"/>
      <c r="B40" s="29"/>
      <c r="C40" s="33"/>
      <c r="D40" s="22"/>
      <c r="F40" s="277"/>
      <c r="G40" s="277"/>
      <c r="H40" s="277"/>
      <c r="J40" s="277"/>
    </row>
    <row r="41" spans="1:10" x14ac:dyDescent="0.2">
      <c r="A41" s="27"/>
      <c r="B41" s="20"/>
      <c r="C41" s="33"/>
      <c r="D41" s="13"/>
      <c r="F41" s="277"/>
      <c r="G41" s="277"/>
      <c r="H41" s="277"/>
      <c r="J41" s="277"/>
    </row>
    <row r="42" spans="1:10" x14ac:dyDescent="0.2">
      <c r="A42" s="27"/>
      <c r="B42" s="20"/>
      <c r="C42" s="33"/>
      <c r="D42" s="22"/>
      <c r="G42" s="277"/>
    </row>
    <row r="43" spans="1:10" x14ac:dyDescent="0.2">
      <c r="A43" s="27"/>
      <c r="B43" s="20"/>
      <c r="C43" s="33"/>
      <c r="D43" s="14"/>
    </row>
    <row r="44" spans="1:10" x14ac:dyDescent="0.2">
      <c r="A44" s="27"/>
      <c r="B44" s="20"/>
      <c r="C44" s="33"/>
      <c r="D44" s="15"/>
    </row>
    <row r="45" spans="1:10" x14ac:dyDescent="0.2">
      <c r="A45" s="27"/>
      <c r="B45" s="20"/>
      <c r="C45" s="33"/>
      <c r="D45" s="13"/>
    </row>
    <row r="46" spans="1:10" x14ac:dyDescent="0.2">
      <c r="A46" s="27"/>
      <c r="B46" s="20"/>
      <c r="C46" s="33"/>
      <c r="D46" s="13"/>
    </row>
    <row r="47" spans="1:10" x14ac:dyDescent="0.2">
      <c r="A47" s="27"/>
      <c r="B47" s="20"/>
      <c r="C47" s="33"/>
      <c r="D47" s="13"/>
    </row>
    <row r="48" spans="1:10" x14ac:dyDescent="0.2">
      <c r="A48" s="27"/>
      <c r="B48" s="20"/>
      <c r="C48" s="33"/>
      <c r="E48" s="17"/>
    </row>
    <row r="49" spans="1:5" x14ac:dyDescent="0.2">
      <c r="A49" s="27"/>
      <c r="B49" s="32"/>
      <c r="C49" s="34"/>
      <c r="E49" s="11"/>
    </row>
    <row r="50" spans="1:5" x14ac:dyDescent="0.2">
      <c r="A50" s="27"/>
      <c r="B50" s="32"/>
      <c r="C50" s="34"/>
      <c r="E50" s="18"/>
    </row>
    <row r="51" spans="1:5" x14ac:dyDescent="0.2">
      <c r="A51" s="27"/>
      <c r="B51" s="32"/>
      <c r="C51" s="34"/>
      <c r="E51" s="11"/>
    </row>
    <row r="52" spans="1:5" x14ac:dyDescent="0.2">
      <c r="A52" s="27"/>
      <c r="B52" s="32"/>
      <c r="C52" s="34"/>
      <c r="E52" s="11"/>
    </row>
    <row r="53" spans="1:5" x14ac:dyDescent="0.2">
      <c r="A53" s="27"/>
      <c r="B53" s="32"/>
      <c r="C53" s="34"/>
      <c r="E53" s="11"/>
    </row>
    <row r="54" spans="1:5" x14ac:dyDescent="0.2">
      <c r="A54" s="27"/>
      <c r="B54" s="32"/>
      <c r="C54" s="34"/>
      <c r="E54" s="11"/>
    </row>
    <row r="55" spans="1:5" x14ac:dyDescent="0.2">
      <c r="A55" s="27"/>
      <c r="B55" s="32"/>
      <c r="C55" s="34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CT49"/>
  <sheetViews>
    <sheetView topLeftCell="A2" workbookViewId="0">
      <selection activeCell="B39" sqref="B39"/>
    </sheetView>
  </sheetViews>
  <sheetFormatPr defaultRowHeight="12.75" x14ac:dyDescent="0.2"/>
  <cols>
    <col min="2" max="2" width="13.28515625" customWidth="1"/>
    <col min="4" max="5" width="11.5703125" bestFit="1" customWidth="1"/>
    <col min="6" max="6" width="12.7109375" customWidth="1"/>
    <col min="7" max="7" width="11.5703125" bestFit="1" customWidth="1"/>
    <col min="8" max="8" width="15.7109375" bestFit="1" customWidth="1"/>
    <col min="9" max="9" width="11.28515625" customWidth="1"/>
    <col min="10" max="10" width="15.28515625" customWidth="1"/>
    <col min="11" max="11" width="15" customWidth="1"/>
    <col min="12" max="12" width="16" customWidth="1"/>
    <col min="16" max="16" width="10.28515625" bestFit="1" customWidth="1"/>
    <col min="18" max="18" width="20.5703125" bestFit="1" customWidth="1"/>
    <col min="19" max="19" width="39.5703125" bestFit="1" customWidth="1"/>
  </cols>
  <sheetData>
    <row r="1" spans="1:98" x14ac:dyDescent="0.2">
      <c r="AA1" s="42"/>
      <c r="AH1" s="42"/>
      <c r="AO1" s="42"/>
      <c r="BC1" s="42"/>
      <c r="BJ1" s="42"/>
      <c r="BQ1" s="42"/>
      <c r="BX1" s="42"/>
      <c r="CL1" s="42"/>
      <c r="CT1" s="42"/>
    </row>
    <row r="2" spans="1:98" ht="13.5" thickBot="1" x14ac:dyDescent="0.25"/>
    <row r="3" spans="1:98" ht="15" x14ac:dyDescent="0.25">
      <c r="A3" s="341" t="s">
        <v>87</v>
      </c>
      <c r="B3" s="341"/>
      <c r="C3" s="341"/>
      <c r="D3" s="341"/>
      <c r="E3" s="146">
        <v>0.125</v>
      </c>
      <c r="F3" s="147"/>
      <c r="G3" s="147"/>
      <c r="H3" s="147"/>
      <c r="I3" s="147"/>
      <c r="J3" s="147"/>
      <c r="K3" s="147"/>
      <c r="O3" s="47" t="s">
        <v>34</v>
      </c>
      <c r="P3" s="48" t="s">
        <v>35</v>
      </c>
      <c r="R3" s="55" t="s">
        <v>89</v>
      </c>
      <c r="S3" s="56" t="s">
        <v>90</v>
      </c>
    </row>
    <row r="4" spans="1:98" x14ac:dyDescent="0.2">
      <c r="A4" s="341" t="s">
        <v>88</v>
      </c>
      <c r="B4" s="341"/>
      <c r="C4" s="341"/>
      <c r="D4" s="341"/>
      <c r="E4" s="148">
        <f>IF(E3&lt;R4,S4,(INDEX($R$3:$S$9,MATCH(E3,$R$3:$R$9,1),2)))</f>
        <v>500</v>
      </c>
      <c r="F4" s="147"/>
      <c r="G4" s="147"/>
      <c r="H4" s="147"/>
      <c r="I4" s="147"/>
      <c r="J4" s="147"/>
      <c r="K4" s="147"/>
      <c r="O4" s="59" t="s">
        <v>11</v>
      </c>
      <c r="P4" s="60">
        <v>76.2</v>
      </c>
      <c r="R4" s="57">
        <v>0.375</v>
      </c>
      <c r="S4" s="50">
        <v>500</v>
      </c>
    </row>
    <row r="5" spans="1:98" ht="13.5" thickBot="1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  <c r="O5" s="59" t="s">
        <v>79</v>
      </c>
      <c r="P5" s="60">
        <v>63.5</v>
      </c>
      <c r="R5" s="57">
        <v>0.75</v>
      </c>
      <c r="S5" s="50">
        <v>1000</v>
      </c>
      <c r="U5" s="52"/>
    </row>
    <row r="6" spans="1:98" ht="28.5" customHeight="1" thickBot="1" x14ac:dyDescent="0.25">
      <c r="A6" s="149" t="s">
        <v>34</v>
      </c>
      <c r="B6" s="150" t="s">
        <v>35</v>
      </c>
      <c r="C6" s="150" t="s">
        <v>36</v>
      </c>
      <c r="D6" s="151" t="s">
        <v>37</v>
      </c>
      <c r="E6" s="151" t="s">
        <v>38</v>
      </c>
      <c r="F6" s="152" t="s">
        <v>39</v>
      </c>
      <c r="G6" s="152" t="s">
        <v>85</v>
      </c>
      <c r="H6" s="153" t="s">
        <v>81</v>
      </c>
      <c r="I6" s="152" t="s">
        <v>135</v>
      </c>
      <c r="J6" s="152" t="s">
        <v>137</v>
      </c>
      <c r="K6" s="154" t="s">
        <v>136</v>
      </c>
      <c r="O6" s="59" t="s">
        <v>78</v>
      </c>
      <c r="P6" s="60">
        <v>50.8</v>
      </c>
      <c r="R6" s="57">
        <v>1</v>
      </c>
      <c r="S6" s="50">
        <v>2000</v>
      </c>
    </row>
    <row r="7" spans="1:98" ht="15" x14ac:dyDescent="0.25">
      <c r="A7" s="166"/>
      <c r="B7" s="176" t="str">
        <f t="shared" ref="B7:B14" si="0">IFERROR(VLOOKUP(A7,$O$4:$P$49,2,FALSE),"")</f>
        <v/>
      </c>
      <c r="C7" s="167"/>
      <c r="D7" s="168"/>
      <c r="E7" s="169"/>
      <c r="F7" s="169"/>
      <c r="G7" s="170"/>
      <c r="H7" s="171">
        <f>SUM(D7:G7)-COUNTIF(D7:G7,"&gt;0")*C7</f>
        <v>0</v>
      </c>
      <c r="I7" s="172">
        <f t="shared" ref="I7:I16" si="1">H7/$H$17</f>
        <v>0</v>
      </c>
      <c r="J7" s="173">
        <f>I7</f>
        <v>0</v>
      </c>
      <c r="K7" s="174">
        <f>1-J7</f>
        <v>1</v>
      </c>
      <c r="O7" s="59" t="s">
        <v>10</v>
      </c>
      <c r="P7" s="60">
        <v>38.1</v>
      </c>
      <c r="R7" s="57">
        <v>1.5</v>
      </c>
      <c r="S7" s="50">
        <v>3000</v>
      </c>
    </row>
    <row r="8" spans="1:98" ht="15" x14ac:dyDescent="0.25">
      <c r="A8" s="175"/>
      <c r="B8" s="176" t="str">
        <f t="shared" si="0"/>
        <v/>
      </c>
      <c r="C8" s="177"/>
      <c r="D8" s="178"/>
      <c r="E8" s="179"/>
      <c r="F8" s="179"/>
      <c r="G8" s="180"/>
      <c r="H8" s="165">
        <f t="shared" ref="H8" si="2">SUM(D8:G8)-COUNTIF(D8:G8,"&gt;0")*C8</f>
        <v>0</v>
      </c>
      <c r="I8" s="181">
        <f t="shared" si="1"/>
        <v>0</v>
      </c>
      <c r="J8" s="182">
        <f>I8+J7</f>
        <v>0</v>
      </c>
      <c r="K8" s="183">
        <f>1-J8</f>
        <v>1</v>
      </c>
      <c r="O8" s="59" t="s">
        <v>40</v>
      </c>
      <c r="P8" s="60">
        <v>25.4</v>
      </c>
      <c r="R8" s="57">
        <v>2</v>
      </c>
      <c r="S8" s="50">
        <v>4000</v>
      </c>
    </row>
    <row r="9" spans="1:98" ht="15.75" thickBot="1" x14ac:dyDescent="0.3">
      <c r="A9" s="175"/>
      <c r="B9" s="176" t="str">
        <f t="shared" si="0"/>
        <v/>
      </c>
      <c r="C9" s="184"/>
      <c r="D9" s="178"/>
      <c r="E9" s="179"/>
      <c r="F9" s="179"/>
      <c r="G9" s="180"/>
      <c r="H9" s="165">
        <f t="shared" ref="H9:H16" si="3">SUM(D9:G9)-COUNTIF(D9:G9,"&gt;0")*C9</f>
        <v>0</v>
      </c>
      <c r="I9" s="181">
        <f t="shared" si="1"/>
        <v>0</v>
      </c>
      <c r="J9" s="182">
        <f t="shared" ref="J9:J16" si="4">I9+J8</f>
        <v>0</v>
      </c>
      <c r="K9" s="183">
        <f>1-J9</f>
        <v>1</v>
      </c>
      <c r="O9" s="59" t="s">
        <v>41</v>
      </c>
      <c r="P9" s="60">
        <v>22.6</v>
      </c>
      <c r="R9" s="58">
        <v>3</v>
      </c>
      <c r="S9" s="51">
        <v>5000</v>
      </c>
    </row>
    <row r="10" spans="1:98" ht="15" x14ac:dyDescent="0.25">
      <c r="A10" s="175"/>
      <c r="B10" s="176" t="str">
        <f t="shared" si="0"/>
        <v/>
      </c>
      <c r="C10" s="184"/>
      <c r="D10" s="190"/>
      <c r="E10" s="179"/>
      <c r="F10" s="179"/>
      <c r="G10" s="180"/>
      <c r="H10" s="165">
        <f t="shared" si="3"/>
        <v>0</v>
      </c>
      <c r="I10" s="181">
        <f t="shared" si="1"/>
        <v>0</v>
      </c>
      <c r="J10" s="185">
        <f t="shared" si="4"/>
        <v>0</v>
      </c>
      <c r="K10" s="186">
        <f>1-J10</f>
        <v>1</v>
      </c>
      <c r="O10" s="59" t="s">
        <v>12</v>
      </c>
      <c r="P10" s="60">
        <v>19</v>
      </c>
      <c r="R10" s="53"/>
    </row>
    <row r="11" spans="1:98" ht="15" x14ac:dyDescent="0.25">
      <c r="A11" s="175"/>
      <c r="B11" s="176" t="str">
        <f t="shared" si="0"/>
        <v/>
      </c>
      <c r="C11" s="184"/>
      <c r="D11" s="178"/>
      <c r="E11" s="179"/>
      <c r="F11" s="179"/>
      <c r="G11" s="180"/>
      <c r="H11" s="165">
        <f t="shared" si="3"/>
        <v>0</v>
      </c>
      <c r="I11" s="181">
        <f>H11/$H$17</f>
        <v>0</v>
      </c>
      <c r="J11" s="182">
        <f t="shared" si="4"/>
        <v>0</v>
      </c>
      <c r="K11" s="186">
        <f t="shared" ref="K11:K16" si="5">1-J11</f>
        <v>1</v>
      </c>
      <c r="O11" s="59" t="s">
        <v>42</v>
      </c>
      <c r="P11" s="60">
        <v>16</v>
      </c>
      <c r="R11" s="53"/>
    </row>
    <row r="12" spans="1:98" ht="15" x14ac:dyDescent="0.25">
      <c r="A12" s="175"/>
      <c r="B12" s="176" t="str">
        <f t="shared" si="0"/>
        <v/>
      </c>
      <c r="C12" s="184"/>
      <c r="D12" s="178"/>
      <c r="E12" s="179"/>
      <c r="F12" s="179"/>
      <c r="G12" s="180"/>
      <c r="H12" s="165">
        <f t="shared" si="3"/>
        <v>0</v>
      </c>
      <c r="I12" s="181">
        <f t="shared" si="1"/>
        <v>0</v>
      </c>
      <c r="J12" s="185">
        <f t="shared" si="4"/>
        <v>0</v>
      </c>
      <c r="K12" s="186">
        <f t="shared" si="5"/>
        <v>1</v>
      </c>
      <c r="O12" s="59" t="s">
        <v>43</v>
      </c>
      <c r="P12" s="60">
        <v>13.5</v>
      </c>
      <c r="R12" s="53"/>
    </row>
    <row r="13" spans="1:98" ht="15" x14ac:dyDescent="0.25">
      <c r="A13" s="175" t="s">
        <v>49</v>
      </c>
      <c r="B13" s="176">
        <f t="shared" si="0"/>
        <v>4.76</v>
      </c>
      <c r="C13" s="184">
        <v>714.9</v>
      </c>
      <c r="D13" s="178">
        <v>715.4</v>
      </c>
      <c r="E13" s="179"/>
      <c r="F13" s="179"/>
      <c r="G13" s="180"/>
      <c r="H13" s="165">
        <f t="shared" si="3"/>
        <v>0.5</v>
      </c>
      <c r="I13" s="181">
        <f t="shared" si="1"/>
        <v>9.7465886939571023E-3</v>
      </c>
      <c r="J13" s="185">
        <f t="shared" si="4"/>
        <v>9.7465886939571023E-3</v>
      </c>
      <c r="K13" s="186">
        <f t="shared" si="5"/>
        <v>0.99025341130604294</v>
      </c>
      <c r="O13" s="59" t="s">
        <v>44</v>
      </c>
      <c r="P13" s="60">
        <v>12.7</v>
      </c>
      <c r="R13" s="53"/>
    </row>
    <row r="14" spans="1:98" ht="15" x14ac:dyDescent="0.25">
      <c r="A14" s="175" t="s">
        <v>53</v>
      </c>
      <c r="B14" s="176">
        <f t="shared" si="0"/>
        <v>2.38</v>
      </c>
      <c r="C14" s="184">
        <v>712.3</v>
      </c>
      <c r="D14" s="178">
        <v>713.9</v>
      </c>
      <c r="E14" s="179"/>
      <c r="F14" s="179"/>
      <c r="G14" s="180"/>
      <c r="H14" s="165">
        <f t="shared" si="3"/>
        <v>1.6000000000000227</v>
      </c>
      <c r="I14" s="181">
        <f t="shared" si="1"/>
        <v>3.1189083820663169E-2</v>
      </c>
      <c r="J14" s="182">
        <f t="shared" si="4"/>
        <v>4.0935672514620269E-2</v>
      </c>
      <c r="K14" s="183">
        <f t="shared" si="5"/>
        <v>0.95906432748537973</v>
      </c>
      <c r="O14" s="59" t="s">
        <v>45</v>
      </c>
      <c r="P14" s="60">
        <v>11.2</v>
      </c>
      <c r="R14" s="53"/>
    </row>
    <row r="15" spans="1:98" ht="15" x14ac:dyDescent="0.25">
      <c r="A15" s="175" t="s">
        <v>54</v>
      </c>
      <c r="B15" s="176">
        <f t="shared" ref="B15:B16" si="6">IFERROR(VLOOKUP(A15,$O$4:$P$49,2,FALSE),"")</f>
        <v>2</v>
      </c>
      <c r="C15" s="177">
        <v>427</v>
      </c>
      <c r="D15" s="178">
        <v>428.1</v>
      </c>
      <c r="E15" s="179"/>
      <c r="F15" s="179"/>
      <c r="G15" s="180"/>
      <c r="H15" s="165">
        <f t="shared" si="3"/>
        <v>1.1000000000000227</v>
      </c>
      <c r="I15" s="181">
        <f t="shared" si="1"/>
        <v>2.1442495126706068E-2</v>
      </c>
      <c r="J15" s="182">
        <f t="shared" si="4"/>
        <v>6.2378167641326338E-2</v>
      </c>
      <c r="K15" s="183">
        <f t="shared" si="5"/>
        <v>0.93762183235867369</v>
      </c>
      <c r="O15" s="59" t="s">
        <v>6</v>
      </c>
      <c r="P15" s="60">
        <v>9.51</v>
      </c>
      <c r="R15" s="53"/>
    </row>
    <row r="16" spans="1:98" ht="15.75" thickBot="1" x14ac:dyDescent="0.3">
      <c r="A16" s="175" t="s">
        <v>80</v>
      </c>
      <c r="B16" s="176">
        <f t="shared" si="6"/>
        <v>0</v>
      </c>
      <c r="C16" s="184">
        <v>370.1</v>
      </c>
      <c r="D16" s="187">
        <f>C16+48.1</f>
        <v>418.20000000000005</v>
      </c>
      <c r="E16" s="188"/>
      <c r="F16" s="188"/>
      <c r="G16" s="189"/>
      <c r="H16" s="165">
        <f t="shared" si="3"/>
        <v>48.100000000000023</v>
      </c>
      <c r="I16" s="181">
        <f t="shared" si="1"/>
        <v>0.93762183235867369</v>
      </c>
      <c r="J16" s="182">
        <f t="shared" si="4"/>
        <v>1</v>
      </c>
      <c r="K16" s="183">
        <f t="shared" si="5"/>
        <v>0</v>
      </c>
      <c r="O16" s="59" t="s">
        <v>46</v>
      </c>
      <c r="P16" s="60">
        <v>8</v>
      </c>
      <c r="R16" s="53"/>
    </row>
    <row r="17" spans="1:18" ht="13.5" thickBot="1" x14ac:dyDescent="0.25">
      <c r="A17" s="155" t="s">
        <v>82</v>
      </c>
      <c r="B17" s="156"/>
      <c r="C17" s="157"/>
      <c r="D17" s="158">
        <f>IF(SUM(D7:D16)&lt;=0,0,SUM(D7:D16)-SUM($C$7:$C$16))</f>
        <v>51.300000000000637</v>
      </c>
      <c r="E17" s="159">
        <f>IF(SUM(E7:E16)&lt;=0,0,SUM(E7:E16)-SUM($C$7:$C$16))</f>
        <v>0</v>
      </c>
      <c r="F17" s="159">
        <f>IF(SUM(F7:F16)&lt;=0,0,SUM(F7:F16)-SUM($C$7:$C$16))</f>
        <v>0</v>
      </c>
      <c r="G17" s="160">
        <f>IF(SUM(G7:G16)&lt;=0,0,SUM(G7:G16)-SUM($C$7:$C$16))</f>
        <v>0</v>
      </c>
      <c r="H17" s="161">
        <f>SUM(H7:H16)</f>
        <v>51.300000000000068</v>
      </c>
      <c r="I17" s="162"/>
      <c r="J17" s="156"/>
      <c r="K17" s="157"/>
      <c r="O17" s="59" t="s">
        <v>47</v>
      </c>
      <c r="P17" s="60">
        <v>6.73</v>
      </c>
      <c r="R17" s="53"/>
    </row>
    <row r="18" spans="1:18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O18" s="59" t="s">
        <v>48</v>
      </c>
      <c r="P18" s="60">
        <v>6.35</v>
      </c>
      <c r="R18" s="53"/>
    </row>
    <row r="19" spans="1:18" x14ac:dyDescent="0.2">
      <c r="A19" s="340" t="s">
        <v>84</v>
      </c>
      <c r="B19" s="340"/>
      <c r="C19" s="147">
        <f>H16</f>
        <v>48.100000000000023</v>
      </c>
      <c r="D19" s="296" t="s">
        <v>5</v>
      </c>
      <c r="E19" s="147"/>
      <c r="F19" s="147"/>
      <c r="G19" s="147"/>
      <c r="H19" s="147"/>
      <c r="I19" s="147"/>
      <c r="J19" s="147"/>
      <c r="K19" s="147"/>
      <c r="O19" s="59" t="s">
        <v>44</v>
      </c>
      <c r="P19" s="60">
        <v>5.66</v>
      </c>
      <c r="R19" s="53"/>
    </row>
    <row r="20" spans="1:18" x14ac:dyDescent="0.2">
      <c r="A20" s="340" t="s">
        <v>83</v>
      </c>
      <c r="B20" s="340"/>
      <c r="C20" s="147">
        <f>SUM(H7:H15)</f>
        <v>3.2000000000000455</v>
      </c>
      <c r="D20" s="296" t="s">
        <v>5</v>
      </c>
      <c r="E20" s="147"/>
      <c r="F20" s="147"/>
      <c r="G20" s="147"/>
      <c r="H20" s="147"/>
      <c r="I20" s="147"/>
      <c r="J20" s="147"/>
      <c r="K20" s="147"/>
      <c r="O20" s="59" t="s">
        <v>49</v>
      </c>
      <c r="P20" s="60">
        <v>4.76</v>
      </c>
    </row>
    <row r="21" spans="1:18" x14ac:dyDescent="0.2">
      <c r="A21" s="339" t="s">
        <v>86</v>
      </c>
      <c r="B21" s="339"/>
      <c r="C21" s="163">
        <f>C19/SUM(C19:C20)</f>
        <v>0.93762183235867369</v>
      </c>
      <c r="D21" s="147"/>
      <c r="E21" s="147"/>
      <c r="F21" s="147"/>
      <c r="G21" s="147"/>
      <c r="H21" s="147"/>
      <c r="I21" s="147"/>
      <c r="J21" s="147"/>
      <c r="K21" s="147"/>
      <c r="O21" s="61" t="s">
        <v>50</v>
      </c>
      <c r="P21" s="60">
        <v>4</v>
      </c>
    </row>
    <row r="22" spans="1:18" x14ac:dyDescent="0.2">
      <c r="A22" s="339" t="s">
        <v>150</v>
      </c>
      <c r="B22" s="339"/>
      <c r="C22" s="163">
        <f>1-C21</f>
        <v>6.237816764132631E-2</v>
      </c>
      <c r="D22" s="147"/>
      <c r="E22" s="147"/>
      <c r="F22" s="147"/>
      <c r="G22" s="147"/>
      <c r="H22" s="147"/>
      <c r="I22" s="147"/>
      <c r="J22" s="147"/>
      <c r="K22" s="147"/>
      <c r="O22" s="61" t="s">
        <v>51</v>
      </c>
      <c r="P22" s="60">
        <v>3.36</v>
      </c>
    </row>
    <row r="23" spans="1:18" x14ac:dyDescent="0.2">
      <c r="O23" s="61" t="s">
        <v>52</v>
      </c>
      <c r="P23" s="60">
        <v>2.83</v>
      </c>
    </row>
    <row r="24" spans="1:18" x14ac:dyDescent="0.2">
      <c r="O24" s="61" t="s">
        <v>53</v>
      </c>
      <c r="P24" s="60">
        <v>2.38</v>
      </c>
    </row>
    <row r="25" spans="1:18" x14ac:dyDescent="0.2">
      <c r="O25" s="61" t="s">
        <v>54</v>
      </c>
      <c r="P25" s="60">
        <v>2</v>
      </c>
    </row>
    <row r="26" spans="1:18" x14ac:dyDescent="0.2">
      <c r="O26" s="61" t="s">
        <v>55</v>
      </c>
      <c r="P26" s="60">
        <v>1.68</v>
      </c>
    </row>
    <row r="27" spans="1:18" x14ac:dyDescent="0.2">
      <c r="O27" s="61" t="s">
        <v>56</v>
      </c>
      <c r="P27" s="60">
        <v>1.41</v>
      </c>
    </row>
    <row r="28" spans="1:18" x14ac:dyDescent="0.2">
      <c r="O28" s="61" t="s">
        <v>57</v>
      </c>
      <c r="P28" s="60">
        <v>1.19</v>
      </c>
    </row>
    <row r="29" spans="1:18" x14ac:dyDescent="0.2">
      <c r="O29" s="61" t="s">
        <v>58</v>
      </c>
      <c r="P29" s="60">
        <v>1</v>
      </c>
    </row>
    <row r="30" spans="1:18" x14ac:dyDescent="0.2">
      <c r="O30" s="61" t="s">
        <v>59</v>
      </c>
      <c r="P30" s="60">
        <v>0.84099999999999997</v>
      </c>
    </row>
    <row r="31" spans="1:18" x14ac:dyDescent="0.2">
      <c r="O31" s="61" t="s">
        <v>60</v>
      </c>
      <c r="P31" s="60">
        <v>0.70699999999999996</v>
      </c>
    </row>
    <row r="32" spans="1:18" x14ac:dyDescent="0.2">
      <c r="O32" s="61" t="s">
        <v>61</v>
      </c>
      <c r="P32" s="60">
        <v>0.59499999999999997</v>
      </c>
    </row>
    <row r="33" spans="15:16" x14ac:dyDescent="0.2">
      <c r="O33" s="61" t="s">
        <v>62</v>
      </c>
      <c r="P33" s="60">
        <v>0.5</v>
      </c>
    </row>
    <row r="34" spans="15:16" x14ac:dyDescent="0.2">
      <c r="O34" s="61" t="s">
        <v>63</v>
      </c>
      <c r="P34" s="60">
        <v>0.42</v>
      </c>
    </row>
    <row r="35" spans="15:16" x14ac:dyDescent="0.2">
      <c r="O35" s="61" t="s">
        <v>64</v>
      </c>
      <c r="P35" s="60">
        <v>0.35399999999999998</v>
      </c>
    </row>
    <row r="36" spans="15:16" x14ac:dyDescent="0.2">
      <c r="O36" s="61" t="s">
        <v>65</v>
      </c>
      <c r="P36" s="60">
        <v>0.29699999999999999</v>
      </c>
    </row>
    <row r="37" spans="15:16" x14ac:dyDescent="0.2">
      <c r="O37" s="61" t="s">
        <v>66</v>
      </c>
      <c r="P37" s="60">
        <v>0.25</v>
      </c>
    </row>
    <row r="38" spans="15:16" x14ac:dyDescent="0.2">
      <c r="O38" s="61" t="s">
        <v>67</v>
      </c>
      <c r="P38" s="60">
        <v>0.21</v>
      </c>
    </row>
    <row r="39" spans="15:16" x14ac:dyDescent="0.2">
      <c r="O39" s="61" t="s">
        <v>68</v>
      </c>
      <c r="P39" s="60">
        <v>0.17699999999999999</v>
      </c>
    </row>
    <row r="40" spans="15:16" x14ac:dyDescent="0.2">
      <c r="O40" s="61" t="s">
        <v>69</v>
      </c>
      <c r="P40" s="60">
        <v>0.14899999999999999</v>
      </c>
    </row>
    <row r="41" spans="15:16" x14ac:dyDescent="0.2">
      <c r="O41" s="61" t="s">
        <v>70</v>
      </c>
      <c r="P41" s="60">
        <v>0.125</v>
      </c>
    </row>
    <row r="42" spans="15:16" x14ac:dyDescent="0.2">
      <c r="O42" s="61" t="s">
        <v>71</v>
      </c>
      <c r="P42" s="60">
        <v>0.105</v>
      </c>
    </row>
    <row r="43" spans="15:16" x14ac:dyDescent="0.2">
      <c r="O43" s="61" t="s">
        <v>72</v>
      </c>
      <c r="P43" s="60">
        <v>8.7999999999999995E-2</v>
      </c>
    </row>
    <row r="44" spans="15:16" x14ac:dyDescent="0.2">
      <c r="O44" s="61" t="s">
        <v>73</v>
      </c>
      <c r="P44" s="60">
        <v>7.3999999999999996E-2</v>
      </c>
    </row>
    <row r="45" spans="15:16" x14ac:dyDescent="0.2">
      <c r="O45" s="61" t="s">
        <v>74</v>
      </c>
      <c r="P45" s="60">
        <v>6.3E-2</v>
      </c>
    </row>
    <row r="46" spans="15:16" x14ac:dyDescent="0.2">
      <c r="O46" s="61" t="s">
        <v>75</v>
      </c>
      <c r="P46" s="60">
        <v>5.2999999999999999E-2</v>
      </c>
    </row>
    <row r="47" spans="15:16" x14ac:dyDescent="0.2">
      <c r="O47" s="61" t="s">
        <v>76</v>
      </c>
      <c r="P47" s="60">
        <v>4.3999999999999997E-2</v>
      </c>
    </row>
    <row r="48" spans="15:16" x14ac:dyDescent="0.2">
      <c r="O48" s="61" t="s">
        <v>77</v>
      </c>
      <c r="P48" s="60">
        <v>3.6999999999999998E-2</v>
      </c>
    </row>
    <row r="49" spans="15:16" ht="13.5" thickBot="1" x14ac:dyDescent="0.25">
      <c r="O49" s="62" t="s">
        <v>80</v>
      </c>
      <c r="P49" s="63">
        <v>0</v>
      </c>
    </row>
  </sheetData>
  <mergeCells count="6">
    <mergeCell ref="A22:B22"/>
    <mergeCell ref="A20:B20"/>
    <mergeCell ref="A19:B19"/>
    <mergeCell ref="A21:B21"/>
    <mergeCell ref="A3:D3"/>
    <mergeCell ref="A4:D4"/>
  </mergeCells>
  <phoneticPr fontId="0" type="noConversion"/>
  <dataValidations count="1">
    <dataValidation type="list" allowBlank="1" showInputMessage="1" showErrorMessage="1" sqref="A7:A16">
      <formula1>$O$4:$O$49</formula1>
    </dataValidation>
  </dataValidations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C94"/>
  <sheetViews>
    <sheetView tabSelected="1" workbookViewId="0">
      <selection activeCell="L8" sqref="L8"/>
    </sheetView>
  </sheetViews>
  <sheetFormatPr defaultRowHeight="12.75" x14ac:dyDescent="0.2"/>
  <cols>
    <col min="1" max="1" width="25.28515625" customWidth="1"/>
    <col min="2" max="2" width="15.140625" customWidth="1"/>
    <col min="3" max="3" width="16" customWidth="1"/>
    <col min="4" max="4" width="23" bestFit="1" customWidth="1"/>
    <col min="5" max="5" width="18.7109375" customWidth="1"/>
    <col min="6" max="6" width="23.42578125" customWidth="1"/>
    <col min="7" max="7" width="16.42578125" customWidth="1"/>
    <col min="8" max="8" width="40.7109375" bestFit="1" customWidth="1"/>
    <col min="9" max="9" width="18.5703125" customWidth="1"/>
    <col min="10" max="10" width="26.28515625" bestFit="1" customWidth="1"/>
    <col min="11" max="11" width="12.140625" customWidth="1"/>
    <col min="12" max="12" width="12" customWidth="1"/>
    <col min="13" max="13" width="14" bestFit="1" customWidth="1"/>
    <col min="17" max="17" width="11" customWidth="1"/>
  </cols>
  <sheetData>
    <row r="1" spans="1:29" ht="13.5" thickBot="1" x14ac:dyDescent="0.25">
      <c r="A1" s="369" t="s">
        <v>115</v>
      </c>
      <c r="B1" s="370"/>
      <c r="C1" s="363" t="s">
        <v>110</v>
      </c>
      <c r="D1" s="365"/>
      <c r="E1" s="365"/>
      <c r="F1" s="364"/>
      <c r="H1" s="363" t="s">
        <v>146</v>
      </c>
      <c r="I1" s="365"/>
      <c r="J1" s="364"/>
    </row>
    <row r="2" spans="1:29" ht="15" x14ac:dyDescent="0.25">
      <c r="A2" s="71" t="s">
        <v>91</v>
      </c>
      <c r="B2" s="105" t="s">
        <v>92</v>
      </c>
      <c r="C2" s="372" t="s">
        <v>102</v>
      </c>
      <c r="D2" s="373"/>
      <c r="E2" s="104">
        <v>51.3</v>
      </c>
      <c r="F2" s="74" t="s">
        <v>5</v>
      </c>
      <c r="H2" s="124" t="s">
        <v>194</v>
      </c>
      <c r="I2" s="113">
        <f>'Retained #10 Sieve'!C22</f>
        <v>6.237816764132631E-2</v>
      </c>
      <c r="J2" s="60"/>
    </row>
    <row r="3" spans="1:29" ht="15" x14ac:dyDescent="0.25">
      <c r="A3" s="59" t="s">
        <v>106</v>
      </c>
      <c r="B3" s="106">
        <v>2.65</v>
      </c>
      <c r="C3" s="374" t="s">
        <v>193</v>
      </c>
      <c r="D3" s="373"/>
      <c r="E3" s="104">
        <v>51.3</v>
      </c>
      <c r="F3" s="74" t="s">
        <v>5</v>
      </c>
      <c r="H3" s="124" t="s">
        <v>139</v>
      </c>
      <c r="I3" s="44">
        <f>W</f>
        <v>48.100000000000023</v>
      </c>
      <c r="J3" s="125" t="s">
        <v>5</v>
      </c>
    </row>
    <row r="4" spans="1:29" ht="17.25" customHeight="1" thickBot="1" x14ac:dyDescent="0.35">
      <c r="A4" s="76" t="s">
        <v>116</v>
      </c>
      <c r="B4" s="107">
        <v>1</v>
      </c>
      <c r="C4" s="372" t="s">
        <v>104</v>
      </c>
      <c r="D4" s="373"/>
      <c r="E4" s="129">
        <f>'Retained #10 Sieve'!C19</f>
        <v>48.100000000000023</v>
      </c>
      <c r="F4" s="74" t="s">
        <v>5</v>
      </c>
      <c r="H4" s="124" t="s">
        <v>153</v>
      </c>
      <c r="I4" s="126">
        <v>48.1</v>
      </c>
      <c r="J4" s="125" t="s">
        <v>5</v>
      </c>
    </row>
    <row r="5" spans="1:29" ht="15" thickBot="1" x14ac:dyDescent="0.25">
      <c r="A5" s="65"/>
      <c r="B5" s="65"/>
      <c r="C5" s="375" t="s">
        <v>103</v>
      </c>
      <c r="D5" s="373"/>
      <c r="E5" s="72">
        <f>E2/E3</f>
        <v>1</v>
      </c>
      <c r="F5" s="50" t="str">
        <f>IF(E5&gt;1,"NG","OK")</f>
        <v>OK</v>
      </c>
      <c r="H5" s="127" t="s">
        <v>143</v>
      </c>
      <c r="I5" s="126">
        <f>888-875.2</f>
        <v>12.799999999999955</v>
      </c>
      <c r="J5" s="125" t="s">
        <v>5</v>
      </c>
      <c r="T5" s="354" t="s">
        <v>100</v>
      </c>
      <c r="U5" s="355"/>
      <c r="V5" s="355"/>
      <c r="W5" s="355"/>
      <c r="X5" s="355"/>
      <c r="Y5" s="355"/>
      <c r="Z5" s="355"/>
      <c r="AA5" s="355"/>
      <c r="AB5" s="355"/>
      <c r="AC5" s="356"/>
    </row>
    <row r="6" spans="1:29" ht="13.5" thickBot="1" x14ac:dyDescent="0.25">
      <c r="C6" s="376" t="s">
        <v>105</v>
      </c>
      <c r="D6" s="377"/>
      <c r="E6" s="191">
        <f>E4</f>
        <v>48.100000000000023</v>
      </c>
      <c r="F6" s="75" t="s">
        <v>5</v>
      </c>
      <c r="H6" s="124" t="s">
        <v>140</v>
      </c>
      <c r="I6" s="129">
        <f>I3-I5</f>
        <v>35.300000000000068</v>
      </c>
      <c r="J6" s="125" t="s">
        <v>5</v>
      </c>
      <c r="T6" s="352" t="s">
        <v>94</v>
      </c>
      <c r="U6" s="349" t="s">
        <v>93</v>
      </c>
      <c r="V6" s="350"/>
      <c r="W6" s="350"/>
      <c r="X6" s="350"/>
      <c r="Y6" s="350"/>
      <c r="Z6" s="350"/>
      <c r="AA6" s="350"/>
      <c r="AB6" s="350"/>
      <c r="AC6" s="351"/>
    </row>
    <row r="7" spans="1:29" ht="13.5" thickBot="1" x14ac:dyDescent="0.25">
      <c r="A7" s="65"/>
      <c r="C7" s="99" t="s">
        <v>145</v>
      </c>
      <c r="H7" s="124" t="s">
        <v>142</v>
      </c>
      <c r="I7" s="44">
        <f>'Retained #10 Sieve'!H17</f>
        <v>51.300000000000068</v>
      </c>
      <c r="J7" s="125" t="s">
        <v>5</v>
      </c>
      <c r="T7" s="353"/>
      <c r="U7" s="92">
        <v>2.4500000000000002</v>
      </c>
      <c r="V7" s="92">
        <v>2.5</v>
      </c>
      <c r="W7" s="92">
        <v>2.5499999999999998</v>
      </c>
      <c r="X7" s="92">
        <v>2.6</v>
      </c>
      <c r="Y7" s="92">
        <v>2.65</v>
      </c>
      <c r="Z7" s="92">
        <v>2.7</v>
      </c>
      <c r="AA7" s="92">
        <v>2.75</v>
      </c>
      <c r="AB7" s="92">
        <v>2.8</v>
      </c>
      <c r="AC7" s="93">
        <v>2.85</v>
      </c>
    </row>
    <row r="8" spans="1:29" x14ac:dyDescent="0.2">
      <c r="C8" s="366" t="s">
        <v>120</v>
      </c>
      <c r="D8" s="367"/>
      <c r="E8" s="367"/>
      <c r="F8" s="368"/>
      <c r="H8" s="124" t="s">
        <v>154</v>
      </c>
      <c r="I8" s="128">
        <f>I5/I4</f>
        <v>0.26611226611226518</v>
      </c>
      <c r="J8" s="60"/>
      <c r="T8" s="94">
        <v>16</v>
      </c>
      <c r="U8" s="43">
        <v>1.5100000000000001E-2</v>
      </c>
      <c r="V8" s="43">
        <v>1.5049999999999999E-2</v>
      </c>
      <c r="W8" s="43">
        <v>1.481E-2</v>
      </c>
      <c r="X8" s="43">
        <v>1.457E-2</v>
      </c>
      <c r="Y8" s="43">
        <v>1.435E-2</v>
      </c>
      <c r="Z8" s="43">
        <v>1.414E-2</v>
      </c>
      <c r="AA8" s="43">
        <v>1.3939999999999999E-2</v>
      </c>
      <c r="AB8" s="43">
        <v>1.374E-2</v>
      </c>
      <c r="AC8" s="60">
        <v>1.3559999999999999E-2</v>
      </c>
    </row>
    <row r="9" spans="1:29" x14ac:dyDescent="0.2">
      <c r="C9" s="77"/>
      <c r="D9" s="54" t="s">
        <v>113</v>
      </c>
      <c r="E9" s="54" t="s">
        <v>114</v>
      </c>
      <c r="F9" s="81" t="s">
        <v>109</v>
      </c>
      <c r="H9" s="124" t="s">
        <v>138</v>
      </c>
      <c r="I9" s="128">
        <f>1-I8</f>
        <v>0.73388773388773476</v>
      </c>
      <c r="J9" s="60"/>
      <c r="T9" s="94">
        <v>17</v>
      </c>
      <c r="U9" s="43">
        <v>1.511E-2</v>
      </c>
      <c r="V9" s="43">
        <v>1.486E-2</v>
      </c>
      <c r="W9" s="43">
        <v>1.4619999999999999E-2</v>
      </c>
      <c r="X9" s="43">
        <v>1.439E-2</v>
      </c>
      <c r="Y9" s="43">
        <v>1.417E-2</v>
      </c>
      <c r="Z9" s="43">
        <v>1.396E-2</v>
      </c>
      <c r="AA9" s="43">
        <v>1.376E-2</v>
      </c>
      <c r="AB9" s="43">
        <v>1.3559999999999999E-2</v>
      </c>
      <c r="AC9" s="60">
        <v>1.338E-2</v>
      </c>
    </row>
    <row r="10" spans="1:29" ht="15" x14ac:dyDescent="0.25">
      <c r="C10" s="78" t="s">
        <v>111</v>
      </c>
      <c r="D10" s="73">
        <v>1.0049999999999999</v>
      </c>
      <c r="E10" s="73">
        <v>65.599999999999994</v>
      </c>
      <c r="F10" s="50">
        <f>D10-1</f>
        <v>4.9999999999998934E-3</v>
      </c>
      <c r="H10" s="124" t="s">
        <v>141</v>
      </c>
      <c r="I10" s="128">
        <f>I8*(1-$I$2)</f>
        <v>0.24951267056530108</v>
      </c>
      <c r="J10" s="60"/>
      <c r="T10" s="94">
        <v>18</v>
      </c>
      <c r="U10" s="43">
        <v>1.4919999999999999E-2</v>
      </c>
      <c r="V10" s="43">
        <v>1.4670000000000001E-2</v>
      </c>
      <c r="W10" s="43">
        <v>1.443E-2</v>
      </c>
      <c r="X10" s="43">
        <v>1.421E-2</v>
      </c>
      <c r="Y10" s="43">
        <v>1.3990000000000001E-2</v>
      </c>
      <c r="Z10" s="43">
        <v>1.3780000000000001E-2</v>
      </c>
      <c r="AA10" s="43">
        <v>1.359E-2</v>
      </c>
      <c r="AB10" s="43">
        <v>1.3390000000000001E-2</v>
      </c>
      <c r="AC10" s="60">
        <v>1.321E-2</v>
      </c>
    </row>
    <row r="11" spans="1:29" ht="15.75" thickBot="1" x14ac:dyDescent="0.3">
      <c r="C11" s="79" t="s">
        <v>112</v>
      </c>
      <c r="D11" s="80">
        <v>1.004</v>
      </c>
      <c r="E11" s="80">
        <v>75.5</v>
      </c>
      <c r="F11" s="51">
        <f>D11-1</f>
        <v>4.0000000000000036E-3</v>
      </c>
      <c r="H11" s="124" t="s">
        <v>155</v>
      </c>
      <c r="I11" s="128">
        <f>I9*(1-$I$2)</f>
        <v>0.68810916179337256</v>
      </c>
      <c r="J11" s="60"/>
      <c r="T11" s="94">
        <v>19</v>
      </c>
      <c r="U11" s="43">
        <v>1.474E-2</v>
      </c>
      <c r="V11" s="43">
        <v>1.4489999999999999E-2</v>
      </c>
      <c r="W11" s="43">
        <v>1.4250000000000001E-2</v>
      </c>
      <c r="X11" s="43">
        <v>1.4030000000000001E-2</v>
      </c>
      <c r="Y11" s="43">
        <v>1.3820000000000001E-2</v>
      </c>
      <c r="Z11" s="43">
        <v>1.3610000000000001E-2</v>
      </c>
      <c r="AA11" s="43">
        <v>1.342E-2</v>
      </c>
      <c r="AB11" s="43">
        <v>0.1323</v>
      </c>
      <c r="AC11" s="60">
        <v>1.3050000000000001E-2</v>
      </c>
    </row>
    <row r="12" spans="1:29" ht="13.5" thickBot="1" x14ac:dyDescent="0.25">
      <c r="C12" s="82" t="s">
        <v>117</v>
      </c>
      <c r="D12" s="83">
        <f>(F11-F10)/(E11-E10)</f>
        <v>-1.0101010101008983E-4</v>
      </c>
      <c r="E12" s="84" t="s">
        <v>118</v>
      </c>
      <c r="F12" s="337">
        <f>-D12*E10+F10</f>
        <v>1.1626262626261786E-2</v>
      </c>
      <c r="G12" s="338"/>
      <c r="H12" s="362" t="s">
        <v>144</v>
      </c>
      <c r="I12" s="362"/>
      <c r="J12" s="362"/>
      <c r="T12" s="94">
        <v>20</v>
      </c>
      <c r="U12" s="43">
        <v>1.456E-2</v>
      </c>
      <c r="V12" s="43">
        <v>1.431E-2</v>
      </c>
      <c r="W12" s="43">
        <v>1.4080000000000001E-2</v>
      </c>
      <c r="X12" s="43">
        <v>1.3860000000000001E-2</v>
      </c>
      <c r="Y12" s="43">
        <v>1.3650000000000001E-2</v>
      </c>
      <c r="Z12" s="43">
        <v>1.3440000000000001E-2</v>
      </c>
      <c r="AA12" s="43">
        <v>1.325E-2</v>
      </c>
      <c r="AB12" s="43">
        <v>1.307E-2</v>
      </c>
      <c r="AC12" s="60">
        <v>1.289E-2</v>
      </c>
    </row>
    <row r="13" spans="1:29" ht="15.75" x14ac:dyDescent="0.25">
      <c r="B13" s="371" t="s">
        <v>7</v>
      </c>
      <c r="C13" s="371"/>
      <c r="D13" s="6"/>
      <c r="E13" s="6"/>
      <c r="G13" s="6"/>
      <c r="H13" s="6"/>
      <c r="I13" s="6"/>
      <c r="J13" s="6"/>
      <c r="T13" s="94">
        <v>21</v>
      </c>
      <c r="U13" s="43">
        <v>1.438E-2</v>
      </c>
      <c r="V13" s="43">
        <v>1.414E-2</v>
      </c>
      <c r="W13" s="43">
        <v>1.391E-2</v>
      </c>
      <c r="X13" s="43">
        <v>1.3690000000000001E-2</v>
      </c>
      <c r="Y13" s="43">
        <v>1.3480000000000001E-2</v>
      </c>
      <c r="Z13" s="43">
        <v>1.328E-2</v>
      </c>
      <c r="AA13" s="43">
        <v>1.3089999999999999E-2</v>
      </c>
      <c r="AB13" s="43">
        <v>1.291E-2</v>
      </c>
      <c r="AC13" s="60">
        <v>1.273E-2</v>
      </c>
    </row>
    <row r="14" spans="1:29" ht="12.75" customHeight="1" x14ac:dyDescent="0.2">
      <c r="G14" s="6"/>
      <c r="H14" s="6"/>
      <c r="I14" s="6"/>
      <c r="J14" s="6"/>
      <c r="T14" s="94">
        <v>22</v>
      </c>
      <c r="U14" s="43">
        <v>1.421E-2</v>
      </c>
      <c r="V14" s="43">
        <v>1.397E-2</v>
      </c>
      <c r="W14" s="43">
        <v>1.374E-2</v>
      </c>
      <c r="X14" s="43">
        <v>1.353E-2</v>
      </c>
      <c r="Y14" s="43">
        <v>1.332E-2</v>
      </c>
      <c r="Z14" s="43">
        <v>1.312E-2</v>
      </c>
      <c r="AA14" s="43">
        <v>1.294E-2</v>
      </c>
      <c r="AB14" s="43">
        <v>1.2760000000000001E-2</v>
      </c>
      <c r="AC14" s="60">
        <v>1.2579999999999999E-2</v>
      </c>
    </row>
    <row r="15" spans="1:29" ht="16.5" thickBot="1" x14ac:dyDescent="0.3">
      <c r="B15" s="12" t="s">
        <v>13</v>
      </c>
      <c r="H15" s="91" t="s">
        <v>124</v>
      </c>
      <c r="I15" s="6"/>
      <c r="J15" s="91" t="s">
        <v>123</v>
      </c>
      <c r="K15" s="30" t="s">
        <v>96</v>
      </c>
      <c r="L15" s="30" t="s">
        <v>95</v>
      </c>
      <c r="T15" s="94">
        <v>23</v>
      </c>
      <c r="U15" s="43">
        <v>1.404E-2</v>
      </c>
      <c r="V15" s="43">
        <v>1.3809999999999999E-2</v>
      </c>
      <c r="W15" s="43">
        <v>1.358E-2</v>
      </c>
      <c r="X15" s="43">
        <v>1.337E-2</v>
      </c>
      <c r="Y15" s="43">
        <v>1.3169999999999999E-2</v>
      </c>
      <c r="Z15" s="43">
        <v>1.2970000000000001E-2</v>
      </c>
      <c r="AA15" s="43">
        <v>1.2789999999999999E-2</v>
      </c>
      <c r="AB15" s="43">
        <v>1.261E-2</v>
      </c>
      <c r="AC15" s="60">
        <v>1.243E-2</v>
      </c>
    </row>
    <row r="16" spans="1:29" ht="12.75" customHeight="1" x14ac:dyDescent="0.2">
      <c r="A16" s="352" t="s">
        <v>129</v>
      </c>
      <c r="B16" s="352" t="s">
        <v>126</v>
      </c>
      <c r="C16" s="357" t="s">
        <v>108</v>
      </c>
      <c r="D16" s="357" t="s">
        <v>107</v>
      </c>
      <c r="E16" s="357" t="s">
        <v>119</v>
      </c>
      <c r="F16" s="357" t="s">
        <v>121</v>
      </c>
      <c r="G16" s="357" t="s">
        <v>243</v>
      </c>
      <c r="H16" s="357" t="s">
        <v>241</v>
      </c>
      <c r="I16" s="357" t="s">
        <v>242</v>
      </c>
      <c r="J16" s="357" t="s">
        <v>128</v>
      </c>
      <c r="K16" s="357" t="s">
        <v>125</v>
      </c>
      <c r="L16" s="357" t="s">
        <v>127</v>
      </c>
      <c r="T16" s="94">
        <v>24</v>
      </c>
      <c r="U16" s="43">
        <v>1.388E-2</v>
      </c>
      <c r="V16" s="43">
        <v>1.3650000000000001E-2</v>
      </c>
      <c r="W16" s="43">
        <v>1.342E-2</v>
      </c>
      <c r="X16" s="43">
        <v>1.321E-2</v>
      </c>
      <c r="Y16" s="43">
        <v>1.3010000000000001E-2</v>
      </c>
      <c r="Z16" s="43">
        <v>1.282E-2</v>
      </c>
      <c r="AA16" s="43">
        <v>1.264E-2</v>
      </c>
      <c r="AB16" s="43">
        <v>1.2460000000000001E-2</v>
      </c>
      <c r="AC16" s="60">
        <v>1.2290000000000001E-2</v>
      </c>
    </row>
    <row r="17" spans="1:29" x14ac:dyDescent="0.2">
      <c r="A17" s="360"/>
      <c r="B17" s="360"/>
      <c r="C17" s="358"/>
      <c r="D17" s="358"/>
      <c r="E17" s="358"/>
      <c r="F17" s="358"/>
      <c r="G17" s="358"/>
      <c r="H17" s="358"/>
      <c r="I17" s="358"/>
      <c r="J17" s="358"/>
      <c r="K17" s="358"/>
      <c r="L17" s="358"/>
      <c r="T17" s="94">
        <v>25</v>
      </c>
      <c r="U17" s="43">
        <v>1.372E-2</v>
      </c>
      <c r="V17" s="43">
        <v>1.349E-2</v>
      </c>
      <c r="W17" s="43">
        <v>1.3270000000000001E-2</v>
      </c>
      <c r="X17" s="43">
        <v>1.306E-2</v>
      </c>
      <c r="Y17" s="43">
        <v>1.286E-2</v>
      </c>
      <c r="Z17" s="43">
        <v>1.2670000000000001E-2</v>
      </c>
      <c r="AA17" s="43">
        <v>1.2489999999999999E-2</v>
      </c>
      <c r="AB17" s="43">
        <v>1.2319999999999999E-2</v>
      </c>
      <c r="AC17" s="60">
        <v>1.2149999999999999E-2</v>
      </c>
    </row>
    <row r="18" spans="1:29" x14ac:dyDescent="0.2">
      <c r="A18" s="360"/>
      <c r="B18" s="360"/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N18">
        <v>0</v>
      </c>
      <c r="T18" s="94">
        <v>26</v>
      </c>
      <c r="U18" s="43">
        <v>1.357E-2</v>
      </c>
      <c r="V18" s="43">
        <v>1.3339999999999999E-2</v>
      </c>
      <c r="W18" s="43">
        <v>1.312E-2</v>
      </c>
      <c r="X18" s="43">
        <v>1.291E-2</v>
      </c>
      <c r="Y18" s="43">
        <v>1.272E-2</v>
      </c>
      <c r="Z18" s="43">
        <v>1.2529999999999999E-2</v>
      </c>
      <c r="AA18" s="43">
        <v>1.235E-2</v>
      </c>
      <c r="AB18" s="43">
        <v>1.218E-2</v>
      </c>
      <c r="AC18" s="60">
        <v>1.201E-2</v>
      </c>
    </row>
    <row r="19" spans="1:29" ht="13.5" thickBot="1" x14ac:dyDescent="0.25">
      <c r="A19" s="361"/>
      <c r="B19" s="361"/>
      <c r="C19" s="359"/>
      <c r="D19" s="359"/>
      <c r="E19" s="359"/>
      <c r="F19" s="359"/>
      <c r="G19" s="359"/>
      <c r="H19" s="359"/>
      <c r="I19" s="359"/>
      <c r="J19" s="359"/>
      <c r="K19" s="359"/>
      <c r="L19" s="359"/>
      <c r="T19" s="94">
        <v>27</v>
      </c>
      <c r="U19" s="43">
        <v>1.342E-2</v>
      </c>
      <c r="V19" s="43">
        <v>1.319E-2</v>
      </c>
      <c r="W19" s="43">
        <v>1.2970000000000001E-2</v>
      </c>
      <c r="X19" s="43">
        <v>1.277E-2</v>
      </c>
      <c r="Y19" s="43">
        <v>1.2579999999999999E-2</v>
      </c>
      <c r="Z19" s="43">
        <v>1.239E-2</v>
      </c>
      <c r="AA19" s="43">
        <v>1.221E-2</v>
      </c>
      <c r="AB19" s="43">
        <v>1.204E-2</v>
      </c>
      <c r="AC19" s="60">
        <v>1.188E-2</v>
      </c>
    </row>
    <row r="20" spans="1:29" ht="15.75" thickTop="1" x14ac:dyDescent="0.2">
      <c r="A20" s="97">
        <v>0.33958333333333335</v>
      </c>
      <c r="B20" s="10">
        <v>2</v>
      </c>
      <c r="C20" s="96">
        <v>71</v>
      </c>
      <c r="D20" s="164">
        <f>N20-$N$18</f>
        <v>1.0169999999999999</v>
      </c>
      <c r="E20" s="85">
        <f>$D$12*C20+$F$12</f>
        <v>4.4545454545454072E-3</v>
      </c>
      <c r="F20" s="19">
        <f>IF(OR(C20=0,D20=0),"",D20-E20)</f>
        <v>1.0125454545454544</v>
      </c>
      <c r="G20" s="19">
        <f>$D$12*C20+$F$12+1</f>
        <v>1.0044545454545455</v>
      </c>
      <c r="H20" s="86">
        <f>IF(OR(C20=0,D20=0),"",(1000/W)*(G/(G-Gone))*(R_-1))</f>
        <v>0.42002710363573953</v>
      </c>
      <c r="I20" s="293">
        <f t="shared" ref="I20:I26" si="0">IF(OR(C20=0,D20=0),"",1-H20)</f>
        <v>0.57997289636426053</v>
      </c>
      <c r="J20" s="8">
        <f t="shared" ref="J20:J26" si="1">IF(OR(C20=0,D20=0),"",INDEX($T$33:$U$94,MATCH($D20,$T$33:$T$94,1),2))</f>
        <v>11.8</v>
      </c>
      <c r="K20" s="23">
        <f t="shared" ref="K20:K26" si="2">IF(OR(C20=0,D20=0),"",INDEX($T$7:$AC$22,IFERROR(MATCH(CONVERT($C20,"F","C"),$T$6:$T$22,1),2),MATCH($B$3,$T$7:$AC$7,0)))</f>
        <v>1.332E-2</v>
      </c>
      <c r="L20" s="24">
        <f t="shared" ref="L20:L26" si="3">IF(OR(C20=0,D20=0),"",K*SQRT(L/T))</f>
        <v>3.235416758317234E-2</v>
      </c>
      <c r="M20" s="131">
        <v>71</v>
      </c>
      <c r="N20">
        <v>1.0169999999999999</v>
      </c>
      <c r="T20" s="94">
        <v>28</v>
      </c>
      <c r="U20" s="43">
        <v>1.3270000000000001E-2</v>
      </c>
      <c r="V20" s="43">
        <v>1.304E-2</v>
      </c>
      <c r="W20" s="43">
        <v>1.2829999999999999E-2</v>
      </c>
      <c r="X20" s="43">
        <v>1.264E-2</v>
      </c>
      <c r="Y20" s="43">
        <v>1.244E-2</v>
      </c>
      <c r="Z20" s="43">
        <v>1.255E-2</v>
      </c>
      <c r="AA20" s="43">
        <v>1.208E-2</v>
      </c>
      <c r="AB20" s="43">
        <v>1.191E-2</v>
      </c>
      <c r="AC20" s="60">
        <v>1.175E-2</v>
      </c>
    </row>
    <row r="21" spans="1:29" ht="15" x14ac:dyDescent="0.2">
      <c r="A21" s="98">
        <f>$A$20+B21/(24*60)</f>
        <v>0.34305555555555556</v>
      </c>
      <c r="B21" s="9">
        <v>5</v>
      </c>
      <c r="C21" s="96">
        <v>71</v>
      </c>
      <c r="D21" s="164">
        <f t="shared" ref="D21:D26" si="4">N21-$N$18</f>
        <v>1.016</v>
      </c>
      <c r="E21" s="85">
        <f t="shared" ref="E21:E26" si="5">$D$12*C21+$F$12</f>
        <v>4.4545454545454072E-3</v>
      </c>
      <c r="F21" s="19">
        <f>IF(OR(C21=0,D21=0),"",D21-E21)</f>
        <v>1.0115454545454545</v>
      </c>
      <c r="G21" s="19">
        <f t="shared" ref="G21:G26" si="6">$D$12*C21+$F$12+1</f>
        <v>1.0044545454545455</v>
      </c>
      <c r="H21" s="86">
        <f t="shared" ref="H20:H26" si="7">IF(OR(C21=0,D21=0),"",(1000/W)*(G/(G-Gone))*(R_-1))</f>
        <v>0.38654668233144479</v>
      </c>
      <c r="I21" s="293">
        <f t="shared" si="0"/>
        <v>0.61345331766855526</v>
      </c>
      <c r="J21" s="8">
        <f t="shared" si="1"/>
        <v>12.1</v>
      </c>
      <c r="K21" s="23">
        <f t="shared" si="2"/>
        <v>1.332E-2</v>
      </c>
      <c r="L21" s="24">
        <f t="shared" si="3"/>
        <v>2.072105711589059E-2</v>
      </c>
      <c r="M21" s="131">
        <v>71</v>
      </c>
      <c r="N21">
        <v>1.016</v>
      </c>
      <c r="T21" s="94">
        <v>29</v>
      </c>
      <c r="U21" s="43">
        <v>1.312E-2</v>
      </c>
      <c r="V21" s="43">
        <v>1.29E-2</v>
      </c>
      <c r="W21" s="43">
        <v>1.269E-2</v>
      </c>
      <c r="X21" s="43">
        <v>1.2489999999999999E-2</v>
      </c>
      <c r="Y21" s="43">
        <v>1.23E-2</v>
      </c>
      <c r="Z21" s="43">
        <v>1.2120000000000001E-2</v>
      </c>
      <c r="AA21" s="43">
        <v>1.1950000000000001E-2</v>
      </c>
      <c r="AB21" s="43">
        <v>1.1780000000000001E-2</v>
      </c>
      <c r="AC21" s="60">
        <v>1.162E-2</v>
      </c>
    </row>
    <row r="22" spans="1:29" ht="15.75" thickBot="1" x14ac:dyDescent="0.25">
      <c r="A22" s="98">
        <f t="shared" ref="A22:A26" si="8">$A$20+B22/(24*60)</f>
        <v>0.35000000000000003</v>
      </c>
      <c r="B22" s="9">
        <v>15</v>
      </c>
      <c r="C22" s="96">
        <v>71</v>
      </c>
      <c r="D22" s="164">
        <f t="shared" si="4"/>
        <v>1.0155000000000001</v>
      </c>
      <c r="E22" s="85">
        <f t="shared" si="5"/>
        <v>4.4545454545454072E-3</v>
      </c>
      <c r="F22" s="19">
        <f>IF(OR(C22=0,D22=0),"",D22-E22)</f>
        <v>1.0110454545454546</v>
      </c>
      <c r="G22" s="19">
        <f t="shared" si="6"/>
        <v>1.0044545454545455</v>
      </c>
      <c r="H22" s="86">
        <f t="shared" si="7"/>
        <v>0.36980647167929742</v>
      </c>
      <c r="I22" s="293">
        <f t="shared" si="0"/>
        <v>0.63019352832070252</v>
      </c>
      <c r="J22" s="8">
        <f t="shared" si="1"/>
        <v>12.3</v>
      </c>
      <c r="K22" s="23">
        <f t="shared" si="2"/>
        <v>1.332E-2</v>
      </c>
      <c r="L22" s="24">
        <f t="shared" si="3"/>
        <v>1.206177300399904E-2</v>
      </c>
      <c r="M22" s="131">
        <v>71</v>
      </c>
      <c r="N22">
        <v>1.0155000000000001</v>
      </c>
      <c r="T22" s="95">
        <v>30</v>
      </c>
      <c r="U22" s="67">
        <v>1.298E-2</v>
      </c>
      <c r="V22" s="67">
        <v>1.2760000000000001E-2</v>
      </c>
      <c r="W22" s="67">
        <v>1.256E-2</v>
      </c>
      <c r="X22" s="67">
        <v>1.2359999999999999E-2</v>
      </c>
      <c r="Y22" s="67">
        <v>1.217E-2</v>
      </c>
      <c r="Z22" s="67">
        <v>1.1990000000000001E-2</v>
      </c>
      <c r="AA22" s="67">
        <v>1.1820000000000001E-2</v>
      </c>
      <c r="AB22" s="67">
        <v>1.1650000000000001E-2</v>
      </c>
      <c r="AC22" s="63">
        <v>1.149E-2</v>
      </c>
    </row>
    <row r="23" spans="1:29" ht="15" x14ac:dyDescent="0.2">
      <c r="A23" s="98">
        <f t="shared" si="8"/>
        <v>0.36041666666666666</v>
      </c>
      <c r="B23" s="64">
        <v>30</v>
      </c>
      <c r="C23" s="96">
        <v>71</v>
      </c>
      <c r="D23" s="164">
        <f t="shared" si="4"/>
        <v>1.0145</v>
      </c>
      <c r="E23" s="85">
        <f t="shared" si="5"/>
        <v>4.4545454545454072E-3</v>
      </c>
      <c r="F23" s="19">
        <f>IF(OR(C23=0,D23=0),"",D23-E23)</f>
        <v>1.0100454545454545</v>
      </c>
      <c r="G23" s="19">
        <f t="shared" si="6"/>
        <v>1.0044545454545455</v>
      </c>
      <c r="H23" s="86">
        <f t="shared" si="7"/>
        <v>0.33632605037499524</v>
      </c>
      <c r="I23" s="293">
        <f t="shared" si="0"/>
        <v>0.66367394962500481</v>
      </c>
      <c r="J23" s="8">
        <f t="shared" si="1"/>
        <v>12.6</v>
      </c>
      <c r="K23" s="23">
        <f t="shared" si="2"/>
        <v>1.332E-2</v>
      </c>
      <c r="L23" s="24">
        <f t="shared" si="3"/>
        <v>8.6323466102792689E-3</v>
      </c>
      <c r="M23" s="131">
        <v>71</v>
      </c>
      <c r="N23">
        <v>1.0145</v>
      </c>
    </row>
    <row r="24" spans="1:29" ht="15" x14ac:dyDescent="0.2">
      <c r="A24" s="98">
        <f t="shared" si="8"/>
        <v>0.38125000000000003</v>
      </c>
      <c r="B24" s="64">
        <v>60</v>
      </c>
      <c r="C24" s="96">
        <v>71</v>
      </c>
      <c r="D24" s="164">
        <f t="shared" si="4"/>
        <v>1.0135000000000001</v>
      </c>
      <c r="E24" s="85">
        <f t="shared" si="5"/>
        <v>4.4545454545454072E-3</v>
      </c>
      <c r="F24" s="19">
        <f t="shared" ref="F24:F26" si="9">IF(OR(C24=0,D24=0),"",D24-E24)</f>
        <v>1.0090454545454546</v>
      </c>
      <c r="G24" s="19">
        <f t="shared" si="6"/>
        <v>1.0044545454545455</v>
      </c>
      <c r="H24" s="86">
        <f t="shared" si="7"/>
        <v>0.30284562907070051</v>
      </c>
      <c r="I24" s="293">
        <f t="shared" si="0"/>
        <v>0.69715437092929955</v>
      </c>
      <c r="J24" s="8">
        <f t="shared" si="1"/>
        <v>12.9</v>
      </c>
      <c r="K24" s="23">
        <f t="shared" si="2"/>
        <v>1.332E-2</v>
      </c>
      <c r="L24" s="24">
        <f t="shared" si="3"/>
        <v>6.1762299180001387E-3</v>
      </c>
      <c r="M24" s="131">
        <v>71</v>
      </c>
      <c r="N24">
        <v>1.0135000000000001</v>
      </c>
    </row>
    <row r="25" spans="1:29" ht="15" x14ac:dyDescent="0.2">
      <c r="A25" s="98">
        <f t="shared" si="8"/>
        <v>0.51319444444444451</v>
      </c>
      <c r="B25" s="64">
        <v>250</v>
      </c>
      <c r="C25" s="96">
        <v>71.5</v>
      </c>
      <c r="D25" s="164">
        <f t="shared" si="4"/>
        <v>1.0129999999999999</v>
      </c>
      <c r="E25" s="85">
        <f t="shared" si="5"/>
        <v>4.4040404040403625E-3</v>
      </c>
      <c r="F25" s="19">
        <f t="shared" si="9"/>
        <v>1.0085959595959595</v>
      </c>
      <c r="G25" s="19">
        <f t="shared" si="6"/>
        <v>1.0044040404040404</v>
      </c>
      <c r="H25" s="293">
        <f t="shared" si="7"/>
        <v>0.28778751601835806</v>
      </c>
      <c r="I25" s="293">
        <f t="shared" si="0"/>
        <v>0.71221248398164194</v>
      </c>
      <c r="J25" s="8">
        <f t="shared" si="1"/>
        <v>12.9</v>
      </c>
      <c r="K25" s="23">
        <f t="shared" si="2"/>
        <v>1.332E-2</v>
      </c>
      <c r="L25" s="24">
        <f t="shared" si="3"/>
        <v>3.0257223666423859E-3</v>
      </c>
      <c r="M25" s="131">
        <v>71.5</v>
      </c>
      <c r="N25">
        <v>1.0129999999999999</v>
      </c>
    </row>
    <row r="26" spans="1:29" ht="15" x14ac:dyDescent="0.2">
      <c r="A26" s="98">
        <f t="shared" si="8"/>
        <v>1.3395833333333333</v>
      </c>
      <c r="B26" s="64">
        <v>1440</v>
      </c>
      <c r="C26" s="96">
        <v>68.900000000000006</v>
      </c>
      <c r="D26" s="164">
        <f t="shared" si="4"/>
        <v>1.0125</v>
      </c>
      <c r="E26" s="85">
        <f t="shared" si="5"/>
        <v>4.6666666666665959E-3</v>
      </c>
      <c r="F26" s="19">
        <f t="shared" si="9"/>
        <v>1.0078333333333334</v>
      </c>
      <c r="G26" s="19">
        <f t="shared" si="6"/>
        <v>1.0046666666666666</v>
      </c>
      <c r="H26" s="293">
        <f t="shared" si="7"/>
        <v>0.26229711197296357</v>
      </c>
      <c r="I26" s="293">
        <f t="shared" si="0"/>
        <v>0.73770288802703643</v>
      </c>
      <c r="J26" s="8">
        <f t="shared" si="1"/>
        <v>13.1</v>
      </c>
      <c r="K26" s="23">
        <f t="shared" si="2"/>
        <v>1.3480000000000001E-2</v>
      </c>
      <c r="L26" s="24">
        <f t="shared" si="3"/>
        <v>1.2857137663138281E-3</v>
      </c>
      <c r="M26" s="131">
        <v>68.900000000000006</v>
      </c>
      <c r="N26">
        <v>1.0125</v>
      </c>
    </row>
    <row r="27" spans="1:29" ht="13.5" thickBot="1" x14ac:dyDescent="0.25"/>
    <row r="28" spans="1:29" ht="13.5" thickBot="1" x14ac:dyDescent="0.25">
      <c r="T28" s="354" t="s">
        <v>101</v>
      </c>
      <c r="U28" s="355"/>
      <c r="V28" s="355"/>
      <c r="W28" s="356"/>
    </row>
    <row r="29" spans="1:29" ht="13.5" thickBot="1" x14ac:dyDescent="0.25">
      <c r="T29" s="363" t="s">
        <v>97</v>
      </c>
      <c r="U29" s="349"/>
      <c r="V29" s="363" t="s">
        <v>98</v>
      </c>
      <c r="W29" s="364"/>
    </row>
    <row r="30" spans="1:29" x14ac:dyDescent="0.2">
      <c r="A30" s="363" t="s">
        <v>134</v>
      </c>
      <c r="B30" s="365"/>
      <c r="C30" s="365"/>
      <c r="D30" s="365"/>
      <c r="E30" s="365"/>
      <c r="F30" s="365"/>
      <c r="G30" s="365"/>
      <c r="H30" s="365"/>
      <c r="I30" s="365"/>
      <c r="J30" s="226">
        <f>I5/I7</f>
        <v>0.24951267056530094</v>
      </c>
      <c r="T30" s="347" t="s">
        <v>99</v>
      </c>
      <c r="U30" s="343" t="s">
        <v>14</v>
      </c>
      <c r="V30" s="347" t="s">
        <v>99</v>
      </c>
      <c r="W30" s="345" t="s">
        <v>14</v>
      </c>
    </row>
    <row r="31" spans="1:29" ht="40.5" customHeight="1" x14ac:dyDescent="0.2">
      <c r="A31" s="221" t="s">
        <v>34</v>
      </c>
      <c r="B31" s="218" t="s">
        <v>130</v>
      </c>
      <c r="C31" s="218" t="s">
        <v>36</v>
      </c>
      <c r="D31" s="218" t="s">
        <v>133</v>
      </c>
      <c r="E31" s="218" t="s">
        <v>132</v>
      </c>
      <c r="F31" s="219" t="s">
        <v>135</v>
      </c>
      <c r="G31" s="219" t="s">
        <v>137</v>
      </c>
      <c r="H31" s="219" t="s">
        <v>136</v>
      </c>
      <c r="I31" s="219" t="s">
        <v>156</v>
      </c>
      <c r="J31" s="222" t="s">
        <v>157</v>
      </c>
      <c r="T31" s="347"/>
      <c r="U31" s="343"/>
      <c r="V31" s="347"/>
      <c r="W31" s="345"/>
    </row>
    <row r="32" spans="1:29" ht="15.75" thickBot="1" x14ac:dyDescent="0.3">
      <c r="A32" s="49" t="s">
        <v>61</v>
      </c>
      <c r="B32" s="44">
        <f>IFERROR(VLOOKUP(A32,'Retained #10 Sieve'!$O$4:$P$49,2,FALSE),"")</f>
        <v>0.59499999999999997</v>
      </c>
      <c r="C32" s="144">
        <v>620.4</v>
      </c>
      <c r="D32" s="144">
        <v>635.29999999999995</v>
      </c>
      <c r="E32" s="220">
        <f t="shared" ref="E32:E37" si="10">IF(OR(C32=0,D32=0),"",D32-C32)</f>
        <v>14.899999999999977</v>
      </c>
      <c r="F32" s="101">
        <f t="shared" ref="F32:F37" si="11">IF(OR(C32=0,D32=0),"",E32/$E$41)</f>
        <v>0.3522458628841606</v>
      </c>
      <c r="G32" s="101">
        <f>IFERROR(F32+G31,F32)</f>
        <v>0.3522458628841606</v>
      </c>
      <c r="H32" s="113">
        <f>1-G32</f>
        <v>0.6477541371158394</v>
      </c>
      <c r="I32" s="113">
        <f>IF(OR(C32=0,D32=0),"",G32*$I$10)</f>
        <v>8.7889805943805771E-2</v>
      </c>
      <c r="J32" s="102">
        <f>IF(OR(C32=0,D32=0),"",1-I32)</f>
        <v>0.9121101940561942</v>
      </c>
      <c r="T32" s="348"/>
      <c r="U32" s="344"/>
      <c r="V32" s="348"/>
      <c r="W32" s="346"/>
    </row>
    <row r="33" spans="1:23" ht="15" x14ac:dyDescent="0.25">
      <c r="A33" s="49" t="s">
        <v>66</v>
      </c>
      <c r="B33" s="44">
        <f>IFERROR(VLOOKUP(A33,'Retained #10 Sieve'!$O$4:$P$49,2,FALSE),"")</f>
        <v>0.25</v>
      </c>
      <c r="C33" s="144">
        <v>313.89999999999998</v>
      </c>
      <c r="D33" s="144">
        <v>330.5</v>
      </c>
      <c r="E33" s="220">
        <f t="shared" si="10"/>
        <v>16.600000000000023</v>
      </c>
      <c r="F33" s="101">
        <f t="shared" si="11"/>
        <v>0.39243498817966999</v>
      </c>
      <c r="G33" s="101">
        <f t="shared" ref="G33:G39" si="12">IFERROR(F33+G32,F33)</f>
        <v>0.74468085106383053</v>
      </c>
      <c r="H33" s="113">
        <f t="shared" ref="H33:H37" si="13">1-G33</f>
        <v>0.25531914893616947</v>
      </c>
      <c r="I33" s="113">
        <f t="shared" ref="I33:I37" si="14">IF(OR(C33=0,D33=0),"",G33*$I$10)</f>
        <v>0.18580730786777758</v>
      </c>
      <c r="J33" s="102">
        <f t="shared" ref="J33:J37" si="15">IF(OR(C33=0,D33=0),"",1-I33)</f>
        <v>0.81419269213222245</v>
      </c>
      <c r="T33" s="68">
        <v>1</v>
      </c>
      <c r="U33" s="70">
        <v>16.3</v>
      </c>
      <c r="V33" s="68">
        <v>0</v>
      </c>
      <c r="W33" s="69">
        <v>16.3</v>
      </c>
    </row>
    <row r="34" spans="1:23" ht="15" x14ac:dyDescent="0.25">
      <c r="A34" s="49" t="s">
        <v>68</v>
      </c>
      <c r="B34" s="44">
        <f>IFERROR(VLOOKUP(A34,'Retained #10 Sieve'!$O$4:$P$49,2,FALSE),"")</f>
        <v>0.17699999999999999</v>
      </c>
      <c r="C34" s="144">
        <v>417.8</v>
      </c>
      <c r="D34" s="144">
        <v>421.7</v>
      </c>
      <c r="E34" s="220">
        <f t="shared" si="10"/>
        <v>3.8999999999999773</v>
      </c>
      <c r="F34" s="101">
        <f t="shared" si="11"/>
        <v>9.2198581560283252E-2</v>
      </c>
      <c r="G34" s="101">
        <f t="shared" si="12"/>
        <v>0.83687943262411379</v>
      </c>
      <c r="H34" s="113">
        <f t="shared" si="13"/>
        <v>0.16312056737588621</v>
      </c>
      <c r="I34" s="113">
        <f t="shared" si="14"/>
        <v>0.20881202217521658</v>
      </c>
      <c r="J34" s="102">
        <f t="shared" si="15"/>
        <v>0.79118797782478345</v>
      </c>
      <c r="T34" s="61">
        <v>1.0009999999999999</v>
      </c>
      <c r="U34" s="46">
        <v>16</v>
      </c>
      <c r="V34" s="61">
        <v>1</v>
      </c>
      <c r="W34" s="60">
        <v>16.100000000000001</v>
      </c>
    </row>
    <row r="35" spans="1:23" ht="15" x14ac:dyDescent="0.25">
      <c r="A35" s="49" t="s">
        <v>69</v>
      </c>
      <c r="B35" s="44">
        <f>IFERROR(VLOOKUP(A35,'Retained #10 Sieve'!$O$4:$P$49,2,FALSE),"")</f>
        <v>0.14899999999999999</v>
      </c>
      <c r="C35" s="144">
        <v>475.4</v>
      </c>
      <c r="D35" s="144">
        <v>476.5</v>
      </c>
      <c r="E35" s="220">
        <f t="shared" si="10"/>
        <v>1.1000000000000227</v>
      </c>
      <c r="F35" s="101">
        <f t="shared" si="11"/>
        <v>2.6004728132388272E-2</v>
      </c>
      <c r="G35" s="101">
        <f t="shared" si="12"/>
        <v>0.86288416075650209</v>
      </c>
      <c r="H35" s="113">
        <f t="shared" si="13"/>
        <v>0.13711583924349791</v>
      </c>
      <c r="I35" s="113">
        <f t="shared" si="14"/>
        <v>0.21530053133885341</v>
      </c>
      <c r="J35" s="102">
        <f t="shared" si="15"/>
        <v>0.78469946866114659</v>
      </c>
      <c r="T35" s="61">
        <v>1.002</v>
      </c>
      <c r="U35" s="46">
        <v>15.8</v>
      </c>
      <c r="V35" s="61">
        <v>2</v>
      </c>
      <c r="W35" s="60">
        <v>16</v>
      </c>
    </row>
    <row r="36" spans="1:23" ht="15" x14ac:dyDescent="0.25">
      <c r="A36" s="49" t="s">
        <v>73</v>
      </c>
      <c r="B36" s="44">
        <f>IFERROR(VLOOKUP(A36,'Retained #10 Sieve'!$O$4:$P$49,2,FALSE),"")</f>
        <v>7.3999999999999996E-2</v>
      </c>
      <c r="C36" s="144">
        <v>317.2</v>
      </c>
      <c r="D36" s="144">
        <v>322.89999999999998</v>
      </c>
      <c r="E36" s="220">
        <f t="shared" si="10"/>
        <v>5.6999999999999886</v>
      </c>
      <c r="F36" s="101">
        <f t="shared" si="11"/>
        <v>0.13475177304964528</v>
      </c>
      <c r="G36" s="101">
        <f t="shared" si="12"/>
        <v>0.99763593380614735</v>
      </c>
      <c r="H36" s="113">
        <f t="shared" si="13"/>
        <v>2.3640661938526542E-3</v>
      </c>
      <c r="I36" s="113">
        <f t="shared" si="14"/>
        <v>0.24892280609587975</v>
      </c>
      <c r="J36" s="102">
        <f t="shared" si="15"/>
        <v>0.75107719390412031</v>
      </c>
      <c r="T36" s="61">
        <v>1.0029999999999999</v>
      </c>
      <c r="U36" s="46">
        <v>15.5</v>
      </c>
      <c r="V36" s="61">
        <v>3</v>
      </c>
      <c r="W36" s="60">
        <v>15.8</v>
      </c>
    </row>
    <row r="37" spans="1:23" ht="15" x14ac:dyDescent="0.25">
      <c r="A37" s="175" t="s">
        <v>80</v>
      </c>
      <c r="B37" s="44">
        <f>IFERROR(VLOOKUP(A37,'Retained #10 Sieve'!$O$4:$P$49,2,FALSE),"")</f>
        <v>0</v>
      </c>
      <c r="C37" s="144">
        <v>370.1</v>
      </c>
      <c r="D37" s="144">
        <v>370.2</v>
      </c>
      <c r="E37" s="220">
        <f t="shared" si="10"/>
        <v>9.9999999999965894E-2</v>
      </c>
      <c r="F37" s="101">
        <f t="shared" si="11"/>
        <v>2.3640661938526242E-3</v>
      </c>
      <c r="G37" s="101">
        <f t="shared" si="12"/>
        <v>1</v>
      </c>
      <c r="H37" s="113">
        <f t="shared" si="13"/>
        <v>0</v>
      </c>
      <c r="I37" s="113">
        <f t="shared" si="14"/>
        <v>0.24951267056530108</v>
      </c>
      <c r="J37" s="102">
        <f t="shared" si="15"/>
        <v>0.75048732943469898</v>
      </c>
      <c r="T37" s="61">
        <v>1.004</v>
      </c>
      <c r="U37" s="46">
        <v>15.2</v>
      </c>
      <c r="V37" s="61">
        <v>4</v>
      </c>
      <c r="W37" s="60">
        <v>15.6</v>
      </c>
    </row>
    <row r="38" spans="1:23" ht="15" x14ac:dyDescent="0.25">
      <c r="A38" s="49"/>
      <c r="B38" s="44" t="str">
        <f>IFERROR(VLOOKUP(A38,'Retained #10 Sieve'!$O$4:$P$49,2,FALSE),"")</f>
        <v/>
      </c>
      <c r="C38" s="144"/>
      <c r="D38" s="144"/>
      <c r="E38" s="220" t="str">
        <f t="shared" ref="E38:E40" si="16">IF(OR(C38=0,D38=0),"",D38-C38)</f>
        <v/>
      </c>
      <c r="F38" s="101" t="str">
        <f t="shared" ref="F38:F40" si="17">IF(OR(C38=0,D38=0),"",E38/$E$41)</f>
        <v/>
      </c>
      <c r="G38" s="101" t="str">
        <f t="shared" si="12"/>
        <v/>
      </c>
      <c r="H38" s="113" t="str">
        <f>IF(OR(C38=0,D38=0),"",F38*($I$10))</f>
        <v/>
      </c>
      <c r="I38" s="101" t="str">
        <f t="shared" ref="I38:I40" si="18">IF(OR(C38=0,D38=0),"",G38*($I$10))</f>
        <v/>
      </c>
      <c r="J38" s="102" t="str">
        <f t="shared" ref="J38:J40" si="19">IF(OR(C38=0,D38=0),"",1-I38)</f>
        <v/>
      </c>
      <c r="T38" s="61">
        <v>1.0049999999999999</v>
      </c>
      <c r="U38" s="46">
        <v>15</v>
      </c>
      <c r="V38" s="61">
        <v>5</v>
      </c>
      <c r="W38" s="60">
        <v>15.5</v>
      </c>
    </row>
    <row r="39" spans="1:23" ht="15" x14ac:dyDescent="0.25">
      <c r="A39" s="49"/>
      <c r="B39" s="44" t="str">
        <f>IFERROR(VLOOKUP(A39,'Retained #10 Sieve'!$O$4:$P$49,2,FALSE),"")</f>
        <v/>
      </c>
      <c r="C39" s="144"/>
      <c r="D39" s="144"/>
      <c r="E39" s="220" t="str">
        <f t="shared" si="16"/>
        <v/>
      </c>
      <c r="F39" s="101" t="str">
        <f t="shared" si="17"/>
        <v/>
      </c>
      <c r="G39" s="101" t="str">
        <f t="shared" si="12"/>
        <v/>
      </c>
      <c r="H39" s="101" t="str">
        <f>IF(OR(C39=0,D39=0),"",F39*(1-$I$8))</f>
        <v/>
      </c>
      <c r="I39" s="101" t="str">
        <f t="shared" si="18"/>
        <v/>
      </c>
      <c r="J39" s="102" t="str">
        <f t="shared" si="19"/>
        <v/>
      </c>
      <c r="T39" s="61">
        <v>1.006</v>
      </c>
      <c r="U39" s="46">
        <v>14.7</v>
      </c>
      <c r="V39" s="61">
        <v>6</v>
      </c>
      <c r="W39" s="60">
        <v>15.3</v>
      </c>
    </row>
    <row r="40" spans="1:23" ht="15.75" thickBot="1" x14ac:dyDescent="0.3">
      <c r="A40" s="119"/>
      <c r="B40" s="111" t="str">
        <f>IFERROR(VLOOKUP(A40,'Retained #10 Sieve'!$O$4:$P$49,2,FALSE),"")</f>
        <v/>
      </c>
      <c r="C40" s="223"/>
      <c r="D40" s="223"/>
      <c r="E40" s="224" t="str">
        <f t="shared" si="16"/>
        <v/>
      </c>
      <c r="F40" s="103" t="str">
        <f t="shared" si="17"/>
        <v/>
      </c>
      <c r="G40" s="103" t="str">
        <f>IFERROR(F40+G39,F40)</f>
        <v/>
      </c>
      <c r="H40" s="103" t="str">
        <f>IF(OR(C40=0,D40=0),"",F40*(1-$I$8))</f>
        <v/>
      </c>
      <c r="I40" s="225" t="str">
        <f t="shared" si="18"/>
        <v/>
      </c>
      <c r="J40" s="100" t="str">
        <f t="shared" si="19"/>
        <v/>
      </c>
      <c r="T40" s="61">
        <v>1.0069999999999999</v>
      </c>
      <c r="U40" s="46">
        <v>14.4</v>
      </c>
      <c r="V40" s="61">
        <v>7</v>
      </c>
      <c r="W40" s="60">
        <v>15.2</v>
      </c>
    </row>
    <row r="41" spans="1:23" ht="13.5" thickBot="1" x14ac:dyDescent="0.25">
      <c r="A41" s="112"/>
      <c r="B41" s="45"/>
      <c r="C41" s="145"/>
      <c r="D41" s="145"/>
      <c r="E41" s="145">
        <f>SUM(E32:E38)</f>
        <v>42.299999999999955</v>
      </c>
      <c r="F41" s="114">
        <v>1</v>
      </c>
      <c r="G41" s="114">
        <v>2</v>
      </c>
      <c r="H41" s="114">
        <v>1</v>
      </c>
      <c r="I41" s="114">
        <v>1</v>
      </c>
      <c r="J41" s="115">
        <v>1</v>
      </c>
      <c r="O41" s="131"/>
      <c r="T41" s="61">
        <v>1.008</v>
      </c>
      <c r="U41" s="46">
        <v>14.2</v>
      </c>
      <c r="V41" s="61">
        <v>8</v>
      </c>
      <c r="W41" s="60">
        <v>15</v>
      </c>
    </row>
    <row r="42" spans="1:23" ht="12.75" customHeight="1" thickBot="1" x14ac:dyDescent="0.25">
      <c r="O42" s="131"/>
      <c r="T42" s="61">
        <v>1.0089999999999999</v>
      </c>
      <c r="U42" s="46">
        <v>13.9</v>
      </c>
      <c r="V42" s="61">
        <v>9</v>
      </c>
      <c r="W42" s="60">
        <v>14.8</v>
      </c>
    </row>
    <row r="43" spans="1:23" ht="12.75" customHeight="1" thickBot="1" x14ac:dyDescent="0.25">
      <c r="A43" s="354" t="s">
        <v>152</v>
      </c>
      <c r="B43" s="355"/>
      <c r="C43" s="355"/>
      <c r="D43" s="356"/>
      <c r="T43" s="61">
        <v>1.01</v>
      </c>
      <c r="U43" s="46">
        <v>13.7</v>
      </c>
      <c r="V43" s="61">
        <v>10</v>
      </c>
      <c r="W43" s="60">
        <v>14.7</v>
      </c>
    </row>
    <row r="44" spans="1:23" ht="38.25" x14ac:dyDescent="0.2">
      <c r="A44" s="108" t="s">
        <v>130</v>
      </c>
      <c r="B44" s="109" t="s">
        <v>136</v>
      </c>
      <c r="C44" s="109" t="s">
        <v>157</v>
      </c>
      <c r="D44" s="110" t="s">
        <v>147</v>
      </c>
      <c r="T44" s="61">
        <v>1.0109999999999999</v>
      </c>
      <c r="U44" s="46">
        <v>13.4</v>
      </c>
      <c r="V44" s="61">
        <v>11</v>
      </c>
      <c r="W44" s="60">
        <v>14.5</v>
      </c>
    </row>
    <row r="45" spans="1:23" x14ac:dyDescent="0.2">
      <c r="A45" s="116">
        <f t="shared" ref="A45:A51" si="20">L20</f>
        <v>3.235416758317234E-2</v>
      </c>
      <c r="B45" s="101">
        <f t="shared" ref="B45:B51" si="21">H20</f>
        <v>0.42002710363573953</v>
      </c>
      <c r="C45" s="130">
        <f>B45*$I$11</f>
        <v>0.28902449821328674</v>
      </c>
      <c r="D45" s="117">
        <f t="shared" ref="D45:D51" si="22">C45*$I$6</f>
        <v>10.202564786929042</v>
      </c>
      <c r="T45" s="61">
        <v>1.012</v>
      </c>
      <c r="U45" s="46">
        <v>13.1</v>
      </c>
      <c r="V45" s="61">
        <v>12</v>
      </c>
      <c r="W45" s="60">
        <v>14.3</v>
      </c>
    </row>
    <row r="46" spans="1:23" x14ac:dyDescent="0.2">
      <c r="A46" s="116">
        <f t="shared" si="20"/>
        <v>2.072105711589059E-2</v>
      </c>
      <c r="B46" s="101">
        <f t="shared" si="21"/>
        <v>0.38654668233144479</v>
      </c>
      <c r="C46" s="130">
        <f t="shared" ref="C46:C51" si="23">B46*$I$11</f>
        <v>0.26598631357309954</v>
      </c>
      <c r="D46" s="117">
        <f t="shared" si="22"/>
        <v>9.3893168691304325</v>
      </c>
      <c r="T46" s="61">
        <v>1.0129999999999999</v>
      </c>
      <c r="U46" s="46">
        <v>12.9</v>
      </c>
      <c r="V46" s="61">
        <v>13</v>
      </c>
      <c r="W46" s="60">
        <v>14.2</v>
      </c>
    </row>
    <row r="47" spans="1:23" x14ac:dyDescent="0.2">
      <c r="A47" s="116">
        <f t="shared" si="20"/>
        <v>1.206177300399904E-2</v>
      </c>
      <c r="B47" s="101">
        <f t="shared" si="21"/>
        <v>0.36980647167929742</v>
      </c>
      <c r="C47" s="130">
        <f t="shared" si="23"/>
        <v>0.25446722125300592</v>
      </c>
      <c r="D47" s="117">
        <f t="shared" si="22"/>
        <v>8.9826929102311261</v>
      </c>
      <c r="T47" s="61">
        <v>1.014</v>
      </c>
      <c r="U47" s="46">
        <v>12.6</v>
      </c>
      <c r="V47" s="61">
        <v>14</v>
      </c>
      <c r="W47" s="60">
        <v>14</v>
      </c>
    </row>
    <row r="48" spans="1:23" x14ac:dyDescent="0.2">
      <c r="A48" s="116">
        <f t="shared" si="20"/>
        <v>8.6323466102792689E-3</v>
      </c>
      <c r="B48" s="101">
        <f t="shared" si="21"/>
        <v>0.33632605037499524</v>
      </c>
      <c r="C48" s="130">
        <f t="shared" si="23"/>
        <v>0.23142903661281358</v>
      </c>
      <c r="D48" s="117">
        <f t="shared" si="22"/>
        <v>8.1694449924323358</v>
      </c>
      <c r="T48" s="61">
        <v>1.0149999999999999</v>
      </c>
      <c r="U48" s="46">
        <v>12.3</v>
      </c>
      <c r="V48" s="61">
        <v>15</v>
      </c>
      <c r="W48" s="60">
        <v>13.8</v>
      </c>
    </row>
    <row r="49" spans="1:23" x14ac:dyDescent="0.2">
      <c r="A49" s="116">
        <f t="shared" si="20"/>
        <v>6.1762299180001387E-3</v>
      </c>
      <c r="B49" s="101">
        <f t="shared" si="21"/>
        <v>0.30284562907070051</v>
      </c>
      <c r="C49" s="130">
        <f t="shared" si="23"/>
        <v>0.20839085197262636</v>
      </c>
      <c r="D49" s="117">
        <f t="shared" si="22"/>
        <v>7.3561970746337249</v>
      </c>
      <c r="T49" s="61">
        <v>1.016</v>
      </c>
      <c r="U49" s="46">
        <v>12.1</v>
      </c>
      <c r="V49" s="61">
        <v>16</v>
      </c>
      <c r="W49" s="60">
        <v>13.7</v>
      </c>
    </row>
    <row r="50" spans="1:23" x14ac:dyDescent="0.2">
      <c r="A50" s="116">
        <f t="shared" si="20"/>
        <v>3.0257223666423859E-3</v>
      </c>
      <c r="B50" s="101">
        <f t="shared" si="21"/>
        <v>0.28778751601835806</v>
      </c>
      <c r="C50" s="130">
        <f t="shared" si="23"/>
        <v>0.19802922642198914</v>
      </c>
      <c r="D50" s="117">
        <f t="shared" si="22"/>
        <v>6.9904316926962302</v>
      </c>
      <c r="T50" s="61">
        <v>1.0169999999999999</v>
      </c>
      <c r="U50" s="46">
        <v>11.8</v>
      </c>
      <c r="V50" s="61">
        <v>17</v>
      </c>
      <c r="W50" s="60">
        <v>13.5</v>
      </c>
    </row>
    <row r="51" spans="1:23" x14ac:dyDescent="0.2">
      <c r="A51" s="116">
        <f t="shared" si="20"/>
        <v>1.2857137663138281E-3</v>
      </c>
      <c r="B51" s="101">
        <f t="shared" si="21"/>
        <v>0.26229711197296357</v>
      </c>
      <c r="C51" s="130">
        <f t="shared" si="23"/>
        <v>0.18048904586053835</v>
      </c>
      <c r="D51" s="117">
        <f t="shared" si="22"/>
        <v>6.3712633188770162</v>
      </c>
      <c r="T51" s="61">
        <v>1.018</v>
      </c>
      <c r="U51" s="46">
        <v>11.5</v>
      </c>
      <c r="V51" s="61">
        <v>18</v>
      </c>
      <c r="W51" s="60">
        <v>13.3</v>
      </c>
    </row>
    <row r="52" spans="1:23" x14ac:dyDescent="0.2">
      <c r="A52" s="49" t="str">
        <f>IFERROR(VLOOKUP(#REF!,'Retained #10 Sieve'!$O$4:$P$49,2,FALSE),"")</f>
        <v/>
      </c>
      <c r="B52" s="101"/>
      <c r="C52" s="130"/>
      <c r="D52" s="118"/>
      <c r="T52" s="61">
        <v>1.0189999999999999</v>
      </c>
      <c r="U52" s="46">
        <v>11.3</v>
      </c>
      <c r="V52" s="61">
        <v>19</v>
      </c>
      <c r="W52" s="60">
        <v>13.2</v>
      </c>
    </row>
    <row r="53" spans="1:23" ht="13.5" thickBot="1" x14ac:dyDescent="0.25">
      <c r="A53" s="119" t="str">
        <f>IFERROR(VLOOKUP(#REF!,'Retained #10 Sieve'!$O$4:$P$49,2,FALSE),"")</f>
        <v/>
      </c>
      <c r="B53" s="103"/>
      <c r="C53" s="103"/>
      <c r="D53" s="100"/>
      <c r="T53" s="61">
        <v>1.02</v>
      </c>
      <c r="U53" s="46">
        <v>11</v>
      </c>
      <c r="V53" s="61">
        <v>20</v>
      </c>
      <c r="W53" s="60">
        <v>13</v>
      </c>
    </row>
    <row r="54" spans="1:23" ht="13.5" thickBot="1" x14ac:dyDescent="0.25">
      <c r="A54" s="112"/>
      <c r="B54" s="114">
        <v>1</v>
      </c>
      <c r="C54" s="114">
        <v>1</v>
      </c>
      <c r="D54" s="115">
        <f>SUM(D45:D50)</f>
        <v>51.0906483260529</v>
      </c>
      <c r="T54" s="61">
        <v>1.0209999999999999</v>
      </c>
      <c r="U54" s="46">
        <v>10.7</v>
      </c>
      <c r="V54" s="61">
        <v>21</v>
      </c>
      <c r="W54" s="60">
        <v>12.9</v>
      </c>
    </row>
    <row r="55" spans="1:23" ht="12.75" customHeight="1" x14ac:dyDescent="0.2">
      <c r="T55" s="61">
        <v>1.022</v>
      </c>
      <c r="U55" s="46">
        <v>10.5</v>
      </c>
      <c r="V55" s="61">
        <v>22</v>
      </c>
      <c r="W55" s="60">
        <v>12.7</v>
      </c>
    </row>
    <row r="56" spans="1:23" x14ac:dyDescent="0.2">
      <c r="T56" s="61">
        <v>1.0229999999999999</v>
      </c>
      <c r="U56" s="46">
        <v>10.199999999999999</v>
      </c>
      <c r="V56" s="61">
        <v>23</v>
      </c>
      <c r="W56" s="60">
        <v>12.5</v>
      </c>
    </row>
    <row r="57" spans="1:23" x14ac:dyDescent="0.2">
      <c r="T57" s="61">
        <v>1.024</v>
      </c>
      <c r="U57" s="46">
        <v>10</v>
      </c>
      <c r="V57" s="61">
        <v>24</v>
      </c>
      <c r="W57" s="60">
        <v>12.4</v>
      </c>
    </row>
    <row r="58" spans="1:23" x14ac:dyDescent="0.2">
      <c r="T58" s="61">
        <v>1.0249999999999999</v>
      </c>
      <c r="U58" s="46">
        <v>9.6999999999999993</v>
      </c>
      <c r="V58" s="61">
        <v>25</v>
      </c>
      <c r="W58" s="60">
        <v>12.2</v>
      </c>
    </row>
    <row r="59" spans="1:23" x14ac:dyDescent="0.2">
      <c r="T59" s="61">
        <v>1.026</v>
      </c>
      <c r="U59" s="46">
        <v>9.4</v>
      </c>
      <c r="V59" s="61">
        <v>26</v>
      </c>
      <c r="W59" s="60">
        <v>12</v>
      </c>
    </row>
    <row r="60" spans="1:23" x14ac:dyDescent="0.2">
      <c r="T60" s="61">
        <v>1.0269999999999999</v>
      </c>
      <c r="U60" s="46">
        <v>9.1999999999999993</v>
      </c>
      <c r="V60" s="61">
        <v>27</v>
      </c>
      <c r="W60" s="60">
        <v>11.9</v>
      </c>
    </row>
    <row r="61" spans="1:23" x14ac:dyDescent="0.2">
      <c r="T61" s="61">
        <v>1.028</v>
      </c>
      <c r="U61" s="46">
        <v>8.9</v>
      </c>
      <c r="V61" s="61">
        <v>28</v>
      </c>
      <c r="W61" s="60">
        <v>11.7</v>
      </c>
    </row>
    <row r="62" spans="1:23" x14ac:dyDescent="0.2">
      <c r="T62" s="61">
        <v>1.0289999999999999</v>
      </c>
      <c r="U62" s="46">
        <v>8.6</v>
      </c>
      <c r="V62" s="61">
        <v>29</v>
      </c>
      <c r="W62" s="60">
        <v>11.5</v>
      </c>
    </row>
    <row r="63" spans="1:23" x14ac:dyDescent="0.2">
      <c r="T63" s="61">
        <v>1.03</v>
      </c>
      <c r="U63" s="46">
        <v>8.4</v>
      </c>
      <c r="V63" s="61">
        <v>30</v>
      </c>
      <c r="W63" s="60">
        <v>11.4</v>
      </c>
    </row>
    <row r="64" spans="1:23" x14ac:dyDescent="0.2">
      <c r="T64" s="61">
        <v>1.0309999999999999</v>
      </c>
      <c r="U64" s="46">
        <v>8.1</v>
      </c>
      <c r="V64" s="61">
        <v>31</v>
      </c>
      <c r="W64" s="60">
        <v>11.2</v>
      </c>
    </row>
    <row r="65" spans="19:23" x14ac:dyDescent="0.2">
      <c r="T65" s="61">
        <v>1.032</v>
      </c>
      <c r="U65" s="46">
        <v>7.8</v>
      </c>
      <c r="V65" s="61">
        <v>32</v>
      </c>
      <c r="W65" s="60">
        <v>11.1</v>
      </c>
    </row>
    <row r="66" spans="19:23" x14ac:dyDescent="0.2">
      <c r="T66" s="61">
        <v>1.0329999999999999</v>
      </c>
      <c r="U66" s="46">
        <v>7.6</v>
      </c>
      <c r="V66" s="61">
        <v>33</v>
      </c>
      <c r="W66" s="60">
        <v>10.9</v>
      </c>
    </row>
    <row r="67" spans="19:23" x14ac:dyDescent="0.2">
      <c r="T67" s="61">
        <v>1.034</v>
      </c>
      <c r="U67" s="46">
        <v>7.3</v>
      </c>
      <c r="V67" s="61">
        <v>34</v>
      </c>
      <c r="W67" s="60">
        <v>10.7</v>
      </c>
    </row>
    <row r="68" spans="19:23" x14ac:dyDescent="0.2">
      <c r="T68" s="61">
        <v>1.0349999999999999</v>
      </c>
      <c r="U68" s="46">
        <v>7</v>
      </c>
      <c r="V68" s="61">
        <v>35</v>
      </c>
      <c r="W68" s="60">
        <v>10.6</v>
      </c>
    </row>
    <row r="69" spans="19:23" x14ac:dyDescent="0.2">
      <c r="T69" s="61">
        <v>1.036</v>
      </c>
      <c r="U69" s="46">
        <v>6.8</v>
      </c>
      <c r="V69" s="61"/>
      <c r="W69" s="60"/>
    </row>
    <row r="70" spans="19:23" x14ac:dyDescent="0.2">
      <c r="T70" s="61">
        <v>1.0369999999999999</v>
      </c>
      <c r="U70" s="46">
        <v>6.5</v>
      </c>
      <c r="V70" s="61">
        <v>36</v>
      </c>
      <c r="W70" s="60">
        <v>10.4</v>
      </c>
    </row>
    <row r="71" spans="19:23" x14ac:dyDescent="0.2">
      <c r="S71" s="342" t="s">
        <v>122</v>
      </c>
      <c r="T71" s="87">
        <v>1.038</v>
      </c>
      <c r="U71" s="88">
        <v>6.2</v>
      </c>
      <c r="V71" s="61">
        <v>37</v>
      </c>
      <c r="W71" s="60">
        <v>10.199999999999999</v>
      </c>
    </row>
    <row r="72" spans="19:23" x14ac:dyDescent="0.2">
      <c r="S72" s="342"/>
      <c r="T72" s="87">
        <v>1.0389999999999999</v>
      </c>
      <c r="U72" s="88">
        <v>5.9</v>
      </c>
      <c r="V72" s="61">
        <v>38</v>
      </c>
      <c r="W72" s="60">
        <v>10.1</v>
      </c>
    </row>
    <row r="73" spans="19:23" x14ac:dyDescent="0.2">
      <c r="S73" s="342"/>
      <c r="T73" s="87">
        <v>1.04</v>
      </c>
      <c r="U73" s="88">
        <v>5.6</v>
      </c>
      <c r="V73" s="61">
        <v>39</v>
      </c>
      <c r="W73" s="60">
        <v>9.9</v>
      </c>
    </row>
    <row r="74" spans="19:23" x14ac:dyDescent="0.2">
      <c r="S74" s="342"/>
      <c r="T74" s="87">
        <v>1.0409999999999999</v>
      </c>
      <c r="U74" s="88">
        <v>5.3</v>
      </c>
      <c r="V74" s="61">
        <v>40</v>
      </c>
      <c r="W74" s="60">
        <v>9.6999999999999993</v>
      </c>
    </row>
    <row r="75" spans="19:23" x14ac:dyDescent="0.2">
      <c r="S75" s="342"/>
      <c r="T75" s="87">
        <v>1.042</v>
      </c>
      <c r="U75" s="88">
        <v>5</v>
      </c>
      <c r="V75" s="61">
        <v>41</v>
      </c>
      <c r="W75" s="60">
        <v>9.6</v>
      </c>
    </row>
    <row r="76" spans="19:23" x14ac:dyDescent="0.2">
      <c r="S76" s="342"/>
      <c r="T76" s="87">
        <v>1.0429999999999999</v>
      </c>
      <c r="U76" s="88">
        <v>4.7</v>
      </c>
      <c r="V76" s="61">
        <v>42</v>
      </c>
      <c r="W76" s="60">
        <v>9.4</v>
      </c>
    </row>
    <row r="77" spans="19:23" x14ac:dyDescent="0.2">
      <c r="S77" s="342"/>
      <c r="T77" s="87">
        <v>1.044</v>
      </c>
      <c r="U77" s="88">
        <v>4.4000000000000004</v>
      </c>
      <c r="V77" s="61">
        <v>43</v>
      </c>
      <c r="W77" s="60">
        <v>9.1999999999999993</v>
      </c>
    </row>
    <row r="78" spans="19:23" x14ac:dyDescent="0.2">
      <c r="S78" s="342"/>
      <c r="T78" s="87">
        <v>1.0449999999999999</v>
      </c>
      <c r="U78" s="88">
        <v>4.0999999999999996</v>
      </c>
      <c r="V78" s="61">
        <v>44</v>
      </c>
      <c r="W78" s="60">
        <v>9.1</v>
      </c>
    </row>
    <row r="79" spans="19:23" x14ac:dyDescent="0.2">
      <c r="S79" s="342"/>
      <c r="T79" s="87">
        <v>1.046</v>
      </c>
      <c r="U79" s="88">
        <v>3.8</v>
      </c>
      <c r="V79" s="61">
        <v>45</v>
      </c>
      <c r="W79" s="60">
        <v>8.9</v>
      </c>
    </row>
    <row r="80" spans="19:23" x14ac:dyDescent="0.2">
      <c r="S80" s="342"/>
      <c r="T80" s="87">
        <v>1.0469999999999999</v>
      </c>
      <c r="U80" s="88">
        <v>3.5</v>
      </c>
      <c r="V80" s="61">
        <v>46</v>
      </c>
      <c r="W80" s="60">
        <v>8.8000000000000007</v>
      </c>
    </row>
    <row r="81" spans="19:23" x14ac:dyDescent="0.2">
      <c r="S81" s="342"/>
      <c r="T81" s="87">
        <v>1.048</v>
      </c>
      <c r="U81" s="88">
        <v>3.2</v>
      </c>
      <c r="V81" s="61">
        <v>47</v>
      </c>
      <c r="W81" s="60">
        <v>8.6</v>
      </c>
    </row>
    <row r="82" spans="19:23" x14ac:dyDescent="0.2">
      <c r="S82" s="342"/>
      <c r="T82" s="87">
        <v>1.0489999999999999</v>
      </c>
      <c r="U82" s="88">
        <v>2.9</v>
      </c>
      <c r="V82" s="61">
        <v>48</v>
      </c>
      <c r="W82" s="60">
        <v>8.4</v>
      </c>
    </row>
    <row r="83" spans="19:23" x14ac:dyDescent="0.2">
      <c r="S83" s="342"/>
      <c r="T83" s="87">
        <v>1.05</v>
      </c>
      <c r="U83" s="88">
        <v>2.6</v>
      </c>
      <c r="V83" s="61">
        <v>49</v>
      </c>
      <c r="W83" s="60">
        <v>8.3000000000000007</v>
      </c>
    </row>
    <row r="84" spans="19:23" x14ac:dyDescent="0.2">
      <c r="S84" s="342"/>
      <c r="T84" s="87">
        <v>1.0509999999999999</v>
      </c>
      <c r="U84" s="88">
        <v>2.2999999999999998</v>
      </c>
      <c r="V84" s="61">
        <v>50</v>
      </c>
      <c r="W84" s="60">
        <v>8.1</v>
      </c>
    </row>
    <row r="85" spans="19:23" x14ac:dyDescent="0.2">
      <c r="S85" s="342"/>
      <c r="T85" s="87">
        <v>1.052</v>
      </c>
      <c r="U85" s="88">
        <v>2</v>
      </c>
      <c r="V85" s="61">
        <v>51</v>
      </c>
      <c r="W85" s="60">
        <v>7.9</v>
      </c>
    </row>
    <row r="86" spans="19:23" x14ac:dyDescent="0.2">
      <c r="S86" s="342"/>
      <c r="T86" s="87">
        <v>1.0529999999999999</v>
      </c>
      <c r="U86" s="88">
        <v>1.7</v>
      </c>
      <c r="V86" s="61">
        <v>52</v>
      </c>
      <c r="W86" s="60">
        <v>7.8</v>
      </c>
    </row>
    <row r="87" spans="19:23" x14ac:dyDescent="0.2">
      <c r="S87" s="342"/>
      <c r="T87" s="87">
        <v>1.054</v>
      </c>
      <c r="U87" s="88">
        <v>1.4</v>
      </c>
      <c r="V87" s="61">
        <v>53</v>
      </c>
      <c r="W87" s="60">
        <v>7.6</v>
      </c>
    </row>
    <row r="88" spans="19:23" x14ac:dyDescent="0.2">
      <c r="S88" s="342"/>
      <c r="T88" s="87">
        <v>1.0549999999999999</v>
      </c>
      <c r="U88" s="88">
        <v>1.1000000000000001</v>
      </c>
      <c r="V88" s="61">
        <v>54</v>
      </c>
      <c r="W88" s="60">
        <v>7.4</v>
      </c>
    </row>
    <row r="89" spans="19:23" x14ac:dyDescent="0.2">
      <c r="S89" s="342"/>
      <c r="T89" s="87">
        <v>1.056</v>
      </c>
      <c r="U89" s="88">
        <v>0.8</v>
      </c>
      <c r="V89" s="61">
        <v>55</v>
      </c>
      <c r="W89" s="60">
        <v>7.3</v>
      </c>
    </row>
    <row r="90" spans="19:23" x14ac:dyDescent="0.2">
      <c r="S90" s="342"/>
      <c r="T90" s="87">
        <v>1.0569999999999999</v>
      </c>
      <c r="U90" s="88">
        <v>0.5</v>
      </c>
      <c r="V90" s="61">
        <v>56</v>
      </c>
      <c r="W90" s="60">
        <v>7.1</v>
      </c>
    </row>
    <row r="91" spans="19:23" x14ac:dyDescent="0.2">
      <c r="S91" s="342"/>
      <c r="T91" s="87">
        <v>1.0580000000000001</v>
      </c>
      <c r="U91" s="88">
        <v>0.2</v>
      </c>
      <c r="V91" s="61">
        <v>57</v>
      </c>
      <c r="W91" s="60">
        <v>7</v>
      </c>
    </row>
    <row r="92" spans="19:23" x14ac:dyDescent="0.2">
      <c r="S92" s="342"/>
      <c r="T92" s="87">
        <v>1.0589999999999999</v>
      </c>
      <c r="U92" s="88">
        <v>-0.1</v>
      </c>
      <c r="V92" s="61">
        <v>58</v>
      </c>
      <c r="W92" s="60">
        <v>6.8</v>
      </c>
    </row>
    <row r="93" spans="19:23" x14ac:dyDescent="0.2">
      <c r="S93" s="342"/>
      <c r="T93" s="87">
        <v>1.06</v>
      </c>
      <c r="U93" s="88">
        <v>-0.4</v>
      </c>
      <c r="V93" s="61">
        <v>59</v>
      </c>
      <c r="W93" s="60">
        <v>6.6</v>
      </c>
    </row>
    <row r="94" spans="19:23" ht="13.5" thickBot="1" x14ac:dyDescent="0.25">
      <c r="S94" s="342"/>
      <c r="T94" s="89">
        <v>1.0609999999999999</v>
      </c>
      <c r="U94" s="90">
        <v>-0.7</v>
      </c>
      <c r="V94" s="66">
        <v>60</v>
      </c>
      <c r="W94" s="63">
        <v>6.5</v>
      </c>
    </row>
  </sheetData>
  <mergeCells count="36">
    <mergeCell ref="A16:A19"/>
    <mergeCell ref="A30:I30"/>
    <mergeCell ref="H1:J1"/>
    <mergeCell ref="A43:D43"/>
    <mergeCell ref="C1:F1"/>
    <mergeCell ref="C8:F8"/>
    <mergeCell ref="A1:B1"/>
    <mergeCell ref="B13:C13"/>
    <mergeCell ref="C2:D2"/>
    <mergeCell ref="C3:D3"/>
    <mergeCell ref="C5:D5"/>
    <mergeCell ref="C4:D4"/>
    <mergeCell ref="C6:D6"/>
    <mergeCell ref="K16:K19"/>
    <mergeCell ref="B16:B19"/>
    <mergeCell ref="H12:J12"/>
    <mergeCell ref="G16:G19"/>
    <mergeCell ref="V29:W29"/>
    <mergeCell ref="T29:U29"/>
    <mergeCell ref="F16:F19"/>
    <mergeCell ref="I16:I19"/>
    <mergeCell ref="J16:J19"/>
    <mergeCell ref="H16:H19"/>
    <mergeCell ref="D16:D19"/>
    <mergeCell ref="C16:C19"/>
    <mergeCell ref="E16:E19"/>
    <mergeCell ref="U6:AC6"/>
    <mergeCell ref="T6:T7"/>
    <mergeCell ref="T5:AC5"/>
    <mergeCell ref="T28:W28"/>
    <mergeCell ref="L16:L19"/>
    <mergeCell ref="S71:S94"/>
    <mergeCell ref="U30:U32"/>
    <mergeCell ref="W30:W32"/>
    <mergeCell ref="T30:T32"/>
    <mergeCell ref="V30:V32"/>
  </mergeCells>
  <conditionalFormatting sqref="F5">
    <cfRule type="cellIs" dxfId="1" priority="1" stopIfTrue="1" operator="equal">
      <formula>"OK"</formula>
    </cfRule>
    <cfRule type="cellIs" dxfId="0" priority="2" stopIfTrue="1" operator="equal">
      <formula>"NG"</formula>
    </cfRule>
  </conditionalFormatting>
  <dataValidations count="2">
    <dataValidation type="list" allowBlank="1" showInputMessage="1" showErrorMessage="1" sqref="B2">
      <formula1>"151H,152H"</formula1>
    </dataValidation>
    <dataValidation type="list" allowBlank="1" showInputMessage="1" showErrorMessage="1" sqref="B3">
      <formula1>$U$7:$AC$7</formula1>
    </dataValidation>
  </dataValidations>
  <pageMargins left="0.25" right="0.25" top="0.75" bottom="0.75" header="0.3" footer="0.3"/>
  <pageSetup scale="61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'Retained #10 Sieve'!#REF!</xm:f>
          </x14:formula1>
          <xm:sqref>A40</xm:sqref>
        </x14:dataValidation>
        <x14:dataValidation type="list" allowBlank="1" showInputMessage="1" showErrorMessage="1">
          <x14:formula1>
            <xm:f>'Retained #10 Sieve'!$O$25:$O$49</xm:f>
          </x14:formula1>
          <xm:sqref>A32:A39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H61"/>
  <sheetViews>
    <sheetView view="pageBreakPreview" zoomScaleNormal="115" zoomScaleSheetLayoutView="100" workbookViewId="0">
      <selection activeCell="J30" sqref="J30"/>
    </sheetView>
  </sheetViews>
  <sheetFormatPr defaultRowHeight="12.75" x14ac:dyDescent="0.2"/>
  <cols>
    <col min="1" max="2" width="3.28515625" bestFit="1" customWidth="1"/>
    <col min="4" max="4" width="13" customWidth="1"/>
    <col min="5" max="6" width="11.42578125" customWidth="1"/>
    <col min="7" max="7" width="18.7109375" bestFit="1" customWidth="1"/>
    <col min="8" max="8" width="13.140625" style="291" customWidth="1"/>
    <col min="9" max="9" width="10.7109375" customWidth="1"/>
    <col min="10" max="10" width="12.42578125" bestFit="1" customWidth="1"/>
    <col min="27" max="27" width="17.28515625" bestFit="1" customWidth="1"/>
  </cols>
  <sheetData>
    <row r="1" spans="1:29" ht="13.5" thickBot="1" x14ac:dyDescent="0.25"/>
    <row r="2" spans="1:29" ht="27.75" customHeight="1" x14ac:dyDescent="0.2">
      <c r="A2" s="382" t="s">
        <v>148</v>
      </c>
      <c r="B2" s="383"/>
      <c r="C2" s="122" t="s">
        <v>34</v>
      </c>
      <c r="D2" s="109" t="s">
        <v>151</v>
      </c>
      <c r="E2" s="133" t="s">
        <v>136</v>
      </c>
      <c r="F2" s="139" t="s">
        <v>135</v>
      </c>
      <c r="G2" s="227" t="s">
        <v>195</v>
      </c>
      <c r="H2" s="399" t="s">
        <v>164</v>
      </c>
      <c r="I2" s="400"/>
    </row>
    <row r="3" spans="1:29" ht="15" customHeight="1" x14ac:dyDescent="0.2">
      <c r="A3" s="384"/>
      <c r="B3" s="385"/>
      <c r="C3" s="49">
        <f>'Retained #10 Sieve'!A7</f>
        <v>0</v>
      </c>
      <c r="D3" s="44">
        <f>IFERROR(IFERROR(VALUE(VLOOKUP(C3,'Retained #10 Sieve'!$O$4:$P$49,2,FALSE)),VALUE(C3)),(D2/2)^2)</f>
        <v>0</v>
      </c>
      <c r="E3" s="113">
        <f>1-F3</f>
        <v>1</v>
      </c>
      <c r="F3" s="132">
        <f>1-'Retained #10 Sieve'!K7</f>
        <v>0</v>
      </c>
      <c r="G3" s="401">
        <f>'Passing #10 Sieve'!I2</f>
        <v>6.237816764132631E-2</v>
      </c>
      <c r="H3" s="391" t="s">
        <v>163</v>
      </c>
      <c r="I3" s="395">
        <f>F8</f>
        <v>0</v>
      </c>
      <c r="J3" t="str">
        <f>IFERROR(INDEX($AA$5:$AA$14,MATCH(D3,$AB$5:$AB$14,1),1),"")</f>
        <v/>
      </c>
    </row>
    <row r="4" spans="1:29" ht="15" customHeight="1" x14ac:dyDescent="0.2">
      <c r="A4" s="384"/>
      <c r="B4" s="385"/>
      <c r="C4" s="49">
        <f>'Retained #10 Sieve'!A8</f>
        <v>0</v>
      </c>
      <c r="D4" s="44">
        <f>IFERROR(IFERROR(VALUE(VLOOKUP(C4,'Retained #10 Sieve'!$O$4:$P$49,2,FALSE)),VALUE(C4)),(D3/2)^2)</f>
        <v>0</v>
      </c>
      <c r="E4" s="113">
        <f t="shared" ref="E4:E23" si="0">1-F4</f>
        <v>1</v>
      </c>
      <c r="F4" s="132">
        <f>1-'Retained #10 Sieve'!K8</f>
        <v>0</v>
      </c>
      <c r="G4" s="401"/>
      <c r="H4" s="392"/>
      <c r="I4" s="395"/>
      <c r="J4" t="str">
        <f t="shared" ref="J4:J23" si="1">IFERROR(INDEX($AA$5:$AA$14,MATCH(D4,$AB$5:$AB$14,1),1),"")</f>
        <v/>
      </c>
      <c r="AA4" s="295" t="s">
        <v>231</v>
      </c>
      <c r="AB4" s="295" t="s">
        <v>232</v>
      </c>
      <c r="AC4" s="295" t="s">
        <v>233</v>
      </c>
    </row>
    <row r="5" spans="1:29" ht="15" customHeight="1" x14ac:dyDescent="0.2">
      <c r="A5" s="384"/>
      <c r="B5" s="385"/>
      <c r="C5" s="49">
        <f>'Retained #10 Sieve'!A9</f>
        <v>0</v>
      </c>
      <c r="D5" s="44">
        <f>IFERROR(IFERROR(VALUE(VLOOKUP(C5,'Retained #10 Sieve'!$O$4:$P$49,2,FALSE)),VALUE(C5)),(D4/2)^2)</f>
        <v>0</v>
      </c>
      <c r="E5" s="113">
        <f t="shared" si="0"/>
        <v>1</v>
      </c>
      <c r="F5" s="132">
        <f>1-'Retained #10 Sieve'!K9</f>
        <v>0</v>
      </c>
      <c r="G5" s="401"/>
      <c r="H5" s="392"/>
      <c r="I5" s="395"/>
      <c r="J5" t="str">
        <f t="shared" si="1"/>
        <v/>
      </c>
      <c r="AA5" s="43" t="s">
        <v>162</v>
      </c>
      <c r="AB5" s="44">
        <v>1E-10</v>
      </c>
      <c r="AC5" s="44">
        <v>2E-3</v>
      </c>
    </row>
    <row r="6" spans="1:29" ht="15" customHeight="1" x14ac:dyDescent="0.2">
      <c r="A6" s="384"/>
      <c r="B6" s="385"/>
      <c r="C6" s="49">
        <f>'Retained #10 Sieve'!A10</f>
        <v>0</v>
      </c>
      <c r="D6" s="44">
        <f>IFERROR(IFERROR(VALUE(VLOOKUP(C6,'Retained #10 Sieve'!$O$4:$P$49,2,FALSE)),VALUE(C6)),(D5/2)^2)</f>
        <v>0</v>
      </c>
      <c r="E6" s="113">
        <f t="shared" si="0"/>
        <v>1</v>
      </c>
      <c r="F6" s="132">
        <f>1-'Retained #10 Sieve'!K10</f>
        <v>0</v>
      </c>
      <c r="G6" s="401"/>
      <c r="H6" s="392"/>
      <c r="I6" s="395"/>
      <c r="J6" t="str">
        <f t="shared" si="1"/>
        <v/>
      </c>
      <c r="AA6" s="43" t="s">
        <v>161</v>
      </c>
      <c r="AB6" s="44">
        <v>2E-3</v>
      </c>
      <c r="AC6" s="44">
        <v>0.06</v>
      </c>
    </row>
    <row r="7" spans="1:29" ht="15" customHeight="1" x14ac:dyDescent="0.2">
      <c r="A7" s="384"/>
      <c r="B7" s="385"/>
      <c r="C7" s="49">
        <f>'Retained #10 Sieve'!A11</f>
        <v>0</v>
      </c>
      <c r="D7" s="44">
        <f>IFERROR(IFERROR(VALUE(VLOOKUP(C7,'Retained #10 Sieve'!$O$4:$P$49,2,FALSE)),VALUE(C7)),(D6/2)^2)</f>
        <v>0</v>
      </c>
      <c r="E7" s="113">
        <f t="shared" si="0"/>
        <v>1</v>
      </c>
      <c r="F7" s="132">
        <f>1-'Retained #10 Sieve'!K11</f>
        <v>0</v>
      </c>
      <c r="G7" s="401"/>
      <c r="H7" s="392"/>
      <c r="I7" s="395"/>
      <c r="J7" t="str">
        <f t="shared" si="1"/>
        <v/>
      </c>
      <c r="AA7" s="43" t="s">
        <v>160</v>
      </c>
      <c r="AB7" s="44">
        <v>0.06</v>
      </c>
      <c r="AC7" s="44">
        <v>0.2</v>
      </c>
    </row>
    <row r="8" spans="1:29" ht="15" customHeight="1" x14ac:dyDescent="0.2">
      <c r="A8" s="384"/>
      <c r="B8" s="385"/>
      <c r="C8" s="49">
        <f>'Retained #10 Sieve'!A12</f>
        <v>0</v>
      </c>
      <c r="D8" s="44">
        <f>IFERROR(IFERROR(VALUE(VLOOKUP(C8,'Retained #10 Sieve'!$O$4:$P$49,2,FALSE)),VALUE(C8)),(D7/2)^2)</f>
        <v>0</v>
      </c>
      <c r="E8" s="113">
        <f t="shared" si="0"/>
        <v>1</v>
      </c>
      <c r="F8" s="132">
        <f>1-'Retained #10 Sieve'!K12</f>
        <v>0</v>
      </c>
      <c r="G8" s="401"/>
      <c r="H8" s="392"/>
      <c r="I8" s="395"/>
      <c r="J8" t="str">
        <f t="shared" si="1"/>
        <v/>
      </c>
      <c r="AA8" s="43" t="s">
        <v>159</v>
      </c>
      <c r="AB8" s="44">
        <v>0.2</v>
      </c>
      <c r="AC8" s="44">
        <v>0.6</v>
      </c>
    </row>
    <row r="9" spans="1:29" ht="15" customHeight="1" x14ac:dyDescent="0.2">
      <c r="A9" s="384"/>
      <c r="B9" s="385"/>
      <c r="C9" s="49" t="str">
        <f>'Retained #10 Sieve'!A13</f>
        <v>No. 4</v>
      </c>
      <c r="D9" s="44">
        <f>IFERROR(IFERROR(VALUE(VLOOKUP(C9,'Retained #10 Sieve'!$O$4:$P$49,2,FALSE)),VALUE(C9)),(D8/2)^2)</f>
        <v>4.76</v>
      </c>
      <c r="E9" s="113">
        <f t="shared" si="0"/>
        <v>0.99025341130604294</v>
      </c>
      <c r="F9" s="132">
        <f>1-'Retained #10 Sieve'!K13</f>
        <v>9.746588693957059E-3</v>
      </c>
      <c r="G9" s="401"/>
      <c r="H9" s="391" t="s">
        <v>226</v>
      </c>
      <c r="I9" s="395">
        <f>F11-F8</f>
        <v>6.237816764132631E-2</v>
      </c>
      <c r="J9" t="str">
        <f t="shared" si="1"/>
        <v>Fine Gravel</v>
      </c>
      <c r="AA9" s="43" t="s">
        <v>158</v>
      </c>
      <c r="AB9" s="44">
        <v>0.6</v>
      </c>
      <c r="AC9" s="44">
        <v>2</v>
      </c>
    </row>
    <row r="10" spans="1:29" ht="15" customHeight="1" x14ac:dyDescent="0.2">
      <c r="A10" s="384"/>
      <c r="B10" s="385"/>
      <c r="C10" s="49" t="str">
        <f>'Retained #10 Sieve'!A14</f>
        <v>No. 8</v>
      </c>
      <c r="D10" s="44">
        <f>IFERROR(IFERROR(VALUE(VLOOKUP(C10,'Retained #10 Sieve'!$O$4:$P$49,2,FALSE)),VALUE(C10)),(D9/2)^2)</f>
        <v>2.38</v>
      </c>
      <c r="E10" s="113">
        <f t="shared" si="0"/>
        <v>0.95906432748537973</v>
      </c>
      <c r="F10" s="132">
        <f>1-'Retained #10 Sieve'!K14</f>
        <v>4.0935672514620269E-2</v>
      </c>
      <c r="G10" s="401"/>
      <c r="H10" s="392"/>
      <c r="I10" s="395"/>
      <c r="J10" t="str">
        <f t="shared" si="1"/>
        <v>Fine Gravel</v>
      </c>
      <c r="AA10" s="43" t="s">
        <v>226</v>
      </c>
      <c r="AB10" s="44">
        <v>2</v>
      </c>
      <c r="AC10" s="44">
        <v>6</v>
      </c>
    </row>
    <row r="11" spans="1:29" ht="15" customHeight="1" thickBot="1" x14ac:dyDescent="0.25">
      <c r="A11" s="386"/>
      <c r="B11" s="387"/>
      <c r="C11" s="49" t="str">
        <f>'Retained #10 Sieve'!A15</f>
        <v>No. 10</v>
      </c>
      <c r="D11" s="191">
        <f>IFERROR(IFERROR(VALUE(VLOOKUP(C11,'Retained #10 Sieve'!$O$4:$P$49,2,FALSE)),VALUE(C11)),(D10/2)^2)</f>
        <v>2</v>
      </c>
      <c r="E11" s="41">
        <f t="shared" si="0"/>
        <v>0.93762183235867369</v>
      </c>
      <c r="F11" s="132">
        <f>1-'Retained #10 Sieve'!K15</f>
        <v>6.237816764132631E-2</v>
      </c>
      <c r="G11" s="401"/>
      <c r="H11" s="393"/>
      <c r="I11" s="395"/>
      <c r="J11" t="str">
        <f t="shared" si="1"/>
        <v>Fine Gravel</v>
      </c>
      <c r="AA11" s="43" t="s">
        <v>230</v>
      </c>
      <c r="AB11" s="44">
        <v>6</v>
      </c>
      <c r="AC11" s="44">
        <v>20</v>
      </c>
    </row>
    <row r="12" spans="1:29" ht="18" customHeight="1" x14ac:dyDescent="0.2">
      <c r="A12" s="382" t="s">
        <v>149</v>
      </c>
      <c r="B12" s="388" t="s">
        <v>165</v>
      </c>
      <c r="C12" s="140" t="str">
        <f>'Passing #10 Sieve'!A32</f>
        <v>No. 30</v>
      </c>
      <c r="D12" s="123">
        <f>IFERROR(IFERROR(VALUE(VLOOKUP(C12,'Retained #10 Sieve'!$O$4:$P$49,2,FALSE)),VALUE(C12)),(D11/2)^2)</f>
        <v>0.59499999999999997</v>
      </c>
      <c r="E12" s="136">
        <f>1-F12</f>
        <v>0.9121101940561942</v>
      </c>
      <c r="F12" s="142">
        <f>'Passing #10 Sieve'!G32*$G$12</f>
        <v>8.7889805943805771E-2</v>
      </c>
      <c r="G12" s="403">
        <f>'Passing #10 Sieve'!I10</f>
        <v>0.24951267056530108</v>
      </c>
      <c r="H12" s="394" t="s">
        <v>159</v>
      </c>
      <c r="I12" s="395">
        <f>F13-F11</f>
        <v>0.12342914022645127</v>
      </c>
      <c r="J12" t="str">
        <f t="shared" si="1"/>
        <v>Medium Sand</v>
      </c>
      <c r="AA12" s="43" t="s">
        <v>229</v>
      </c>
      <c r="AB12" s="44">
        <v>20</v>
      </c>
      <c r="AC12" s="44">
        <v>60</v>
      </c>
    </row>
    <row r="13" spans="1:29" ht="18" customHeight="1" x14ac:dyDescent="0.2">
      <c r="A13" s="384"/>
      <c r="B13" s="389"/>
      <c r="C13" s="141" t="str">
        <f>'Passing #10 Sieve'!A33</f>
        <v>No. 60</v>
      </c>
      <c r="D13" s="44">
        <f>IFERROR(IFERROR(VALUE(VLOOKUP(C13,'Retained #10 Sieve'!$O$4:$P$49,2,FALSE)),VALUE(C13)),(D12/2)^2)</f>
        <v>0.25</v>
      </c>
      <c r="E13" s="113">
        <f t="shared" si="0"/>
        <v>0.81419269213222245</v>
      </c>
      <c r="F13" s="132">
        <f>'Passing #10 Sieve'!G33*$G$12</f>
        <v>0.18580730786777758</v>
      </c>
      <c r="G13" s="404"/>
      <c r="H13" s="394"/>
      <c r="I13" s="395"/>
      <c r="J13" t="str">
        <f t="shared" si="1"/>
        <v>Medium Sand</v>
      </c>
      <c r="AA13" s="43" t="s">
        <v>228</v>
      </c>
      <c r="AB13" s="44">
        <v>60</v>
      </c>
      <c r="AC13" s="44">
        <v>200</v>
      </c>
    </row>
    <row r="14" spans="1:29" ht="18" customHeight="1" x14ac:dyDescent="0.2">
      <c r="A14" s="384"/>
      <c r="B14" s="389"/>
      <c r="C14" s="141" t="str">
        <f>'Passing #10 Sieve'!A34</f>
        <v>No. 80</v>
      </c>
      <c r="D14" s="44">
        <f>IFERROR(IFERROR(VALUE(VLOOKUP(C14,'Retained #10 Sieve'!$O$4:$P$49,2,FALSE)),VALUE(C14)),(D13/2)^2)</f>
        <v>0.17699999999999999</v>
      </c>
      <c r="E14" s="113">
        <f t="shared" si="0"/>
        <v>0.79118797782478345</v>
      </c>
      <c r="F14" s="132">
        <f>'Passing #10 Sieve'!G34*$G$12</f>
        <v>0.20881202217521658</v>
      </c>
      <c r="G14" s="404"/>
      <c r="H14" s="392" t="s">
        <v>160</v>
      </c>
      <c r="I14" s="395">
        <f>F16-F13</f>
        <v>6.3115498228102168E-2</v>
      </c>
      <c r="J14" t="str">
        <f t="shared" si="1"/>
        <v>Fine Sand</v>
      </c>
      <c r="AA14" s="43" t="s">
        <v>227</v>
      </c>
      <c r="AB14" s="44">
        <v>200</v>
      </c>
      <c r="AC14" s="44">
        <v>200000</v>
      </c>
    </row>
    <row r="15" spans="1:29" ht="18" customHeight="1" x14ac:dyDescent="0.2">
      <c r="A15" s="384"/>
      <c r="B15" s="389"/>
      <c r="C15" s="141" t="str">
        <f>'Passing #10 Sieve'!A35</f>
        <v>No. 100</v>
      </c>
      <c r="D15" s="44">
        <f>IFERROR(IFERROR(VALUE(VLOOKUP(C15,'Retained #10 Sieve'!$O$4:$P$49,2,FALSE)),VALUE(C15)),(D14/2)^2)</f>
        <v>0.14899999999999999</v>
      </c>
      <c r="E15" s="113">
        <f t="shared" si="0"/>
        <v>0.78469946866114659</v>
      </c>
      <c r="F15" s="132">
        <f>'Passing #10 Sieve'!G35*$G$12</f>
        <v>0.21530053133885341</v>
      </c>
      <c r="G15" s="404"/>
      <c r="H15" s="392"/>
      <c r="I15" s="395"/>
      <c r="J15" t="str">
        <f t="shared" si="1"/>
        <v>Fine Sand</v>
      </c>
    </row>
    <row r="16" spans="1:29" ht="18" customHeight="1" x14ac:dyDescent="0.2">
      <c r="A16" s="384"/>
      <c r="B16" s="390"/>
      <c r="C16" s="141" t="str">
        <f>'Passing #10 Sieve'!A36</f>
        <v>No. 200</v>
      </c>
      <c r="D16" s="44">
        <f>IFERROR(IFERROR(VALUE(VLOOKUP(C16,'Retained #10 Sieve'!$O$4:$P$49,2,FALSE)),VALUE(C16)),(D15/2)^2)</f>
        <v>7.3999999999999996E-2</v>
      </c>
      <c r="E16" s="113">
        <f>1-F16</f>
        <v>0.75107719390412031</v>
      </c>
      <c r="F16" s="132">
        <f>'Passing #10 Sieve'!G36*$G$12</f>
        <v>0.24892280609587975</v>
      </c>
      <c r="G16" s="405"/>
      <c r="H16" s="393"/>
      <c r="I16" s="395"/>
      <c r="J16" t="str">
        <f t="shared" si="1"/>
        <v>Fine Sand</v>
      </c>
    </row>
    <row r="17" spans="1:34" ht="15" customHeight="1" x14ac:dyDescent="0.2">
      <c r="A17" s="384"/>
      <c r="B17" s="385" t="s">
        <v>131</v>
      </c>
      <c r="C17" s="134">
        <f>'Passing #10 Sieve'!L20</f>
        <v>3.235416758317234E-2</v>
      </c>
      <c r="D17" s="120">
        <f>IFERROR(IFERROR(VALUE(VLOOKUP(C17,'Retained #10 Sieve'!$O$4:$P$49,2,FALSE)),VALUE(C17)),(#REF!/2)^2)</f>
        <v>3.235416758317234E-2</v>
      </c>
      <c r="E17" s="137">
        <f t="shared" si="0"/>
        <v>0.2890244982132868</v>
      </c>
      <c r="F17" s="143">
        <f>1-'Passing #10 Sieve'!C45</f>
        <v>0.7109755017867132</v>
      </c>
      <c r="G17" s="402">
        <f>'Passing #10 Sieve'!I6/'Passing #10 Sieve'!$I$7</f>
        <v>0.68810916179337278</v>
      </c>
      <c r="H17" s="394" t="s">
        <v>161</v>
      </c>
      <c r="I17" s="395">
        <f>F22-F16</f>
        <v>0.55304796748213114</v>
      </c>
      <c r="J17" t="str">
        <f t="shared" si="1"/>
        <v>Silt</v>
      </c>
    </row>
    <row r="18" spans="1:34" ht="15" customHeight="1" x14ac:dyDescent="0.2">
      <c r="A18" s="384"/>
      <c r="B18" s="385"/>
      <c r="C18" s="134">
        <f>'Passing #10 Sieve'!L21</f>
        <v>2.072105711589059E-2</v>
      </c>
      <c r="D18" s="120">
        <f>IFERROR(IFERROR(VALUE(VLOOKUP(C18,'Retained #10 Sieve'!$O$4:$P$49,2,FALSE)),VALUE(C18)),(D17/2)^2)</f>
        <v>2.072105711589059E-2</v>
      </c>
      <c r="E18" s="137">
        <f t="shared" si="0"/>
        <v>0.26598631357309954</v>
      </c>
      <c r="F18" s="143">
        <f>1-'Passing #10 Sieve'!C46</f>
        <v>0.73401368642690046</v>
      </c>
      <c r="G18" s="402"/>
      <c r="H18" s="394"/>
      <c r="I18" s="395"/>
      <c r="J18" t="str">
        <f t="shared" si="1"/>
        <v>Silt</v>
      </c>
    </row>
    <row r="19" spans="1:34" ht="15" customHeight="1" x14ac:dyDescent="0.2">
      <c r="A19" s="384"/>
      <c r="B19" s="385"/>
      <c r="C19" s="134">
        <f>'Passing #10 Sieve'!L22</f>
        <v>1.206177300399904E-2</v>
      </c>
      <c r="D19" s="120">
        <f>IFERROR(IFERROR(VALUE(VLOOKUP(C19,'Retained #10 Sieve'!$O$4:$P$49,2,FALSE)),VALUE(C19)),(D18/2)^2)</f>
        <v>1.206177300399904E-2</v>
      </c>
      <c r="E19" s="137">
        <f t="shared" si="0"/>
        <v>0.25446722125300592</v>
      </c>
      <c r="F19" s="143">
        <f>1-'Passing #10 Sieve'!C47</f>
        <v>0.74553277874699408</v>
      </c>
      <c r="G19" s="402"/>
      <c r="H19" s="394"/>
      <c r="I19" s="395"/>
      <c r="J19" t="str">
        <f t="shared" si="1"/>
        <v>Silt</v>
      </c>
    </row>
    <row r="20" spans="1:34" ht="15" customHeight="1" x14ac:dyDescent="0.2">
      <c r="A20" s="384"/>
      <c r="B20" s="385"/>
      <c r="C20" s="134">
        <f>'Passing #10 Sieve'!L23</f>
        <v>8.6323466102792689E-3</v>
      </c>
      <c r="D20" s="120">
        <f>IFERROR(IFERROR(VALUE(VLOOKUP(C20,'Retained #10 Sieve'!$O$4:$P$49,2,FALSE)),VALUE(C20)),(D19/2)^2)</f>
        <v>8.6323466102792689E-3</v>
      </c>
      <c r="E20" s="137">
        <f t="shared" si="0"/>
        <v>0.23142903661281355</v>
      </c>
      <c r="F20" s="143">
        <f>1-'Passing #10 Sieve'!C48</f>
        <v>0.76857096338718645</v>
      </c>
      <c r="G20" s="402"/>
      <c r="H20" s="394"/>
      <c r="I20" s="395"/>
      <c r="J20" t="str">
        <f t="shared" si="1"/>
        <v>Silt</v>
      </c>
    </row>
    <row r="21" spans="1:34" ht="15" customHeight="1" x14ac:dyDescent="0.2">
      <c r="A21" s="384"/>
      <c r="B21" s="385"/>
      <c r="C21" s="134">
        <f>'Passing #10 Sieve'!L24</f>
        <v>6.1762299180001387E-3</v>
      </c>
      <c r="D21" s="120">
        <f>IFERROR(IFERROR(VALUE(VLOOKUP(C21,'Retained #10 Sieve'!$O$4:$P$49,2,FALSE)),VALUE(C21)),(D20/2)^2)</f>
        <v>6.1762299180001387E-3</v>
      </c>
      <c r="E21" s="137">
        <f t="shared" si="0"/>
        <v>0.2083908519726263</v>
      </c>
      <c r="F21" s="143">
        <f>1-'Passing #10 Sieve'!C49</f>
        <v>0.7916091480273737</v>
      </c>
      <c r="G21" s="402"/>
      <c r="H21" s="394"/>
      <c r="I21" s="395"/>
      <c r="J21" t="str">
        <f t="shared" si="1"/>
        <v>Silt</v>
      </c>
    </row>
    <row r="22" spans="1:34" ht="15" customHeight="1" x14ac:dyDescent="0.2">
      <c r="A22" s="384"/>
      <c r="B22" s="385"/>
      <c r="C22" s="134">
        <f>'Passing #10 Sieve'!L25</f>
        <v>3.0257223666423859E-3</v>
      </c>
      <c r="D22" s="120">
        <f>IFERROR(IFERROR(VALUE(VLOOKUP(C22,'Retained #10 Sieve'!$O$4:$P$49,2,FALSE)),VALUE(C22)),(D21/2)^2)</f>
        <v>3.0257223666423859E-3</v>
      </c>
      <c r="E22" s="137">
        <f t="shared" si="0"/>
        <v>0.19802922642198917</v>
      </c>
      <c r="F22" s="143">
        <f>1-'Passing #10 Sieve'!C50</f>
        <v>0.80197077357801083</v>
      </c>
      <c r="G22" s="402"/>
      <c r="H22" s="394"/>
      <c r="I22" s="395"/>
      <c r="J22" t="str">
        <f t="shared" si="1"/>
        <v>Silt</v>
      </c>
    </row>
    <row r="23" spans="1:34" ht="15" customHeight="1" thickBot="1" x14ac:dyDescent="0.25">
      <c r="A23" s="386"/>
      <c r="B23" s="387"/>
      <c r="C23" s="135">
        <f>'Passing #10 Sieve'!L26</f>
        <v>1.2857137663138281E-3</v>
      </c>
      <c r="D23" s="121">
        <f>IFERROR(IFERROR(VALUE(VLOOKUP(C23,'Retained #10 Sieve'!$O$4:$P$49,2,FALSE)),VALUE(C23)),(D22/2)^2)</f>
        <v>1.2857137663138281E-3</v>
      </c>
      <c r="E23" s="138">
        <f t="shared" si="0"/>
        <v>0.18048904586053838</v>
      </c>
      <c r="F23" s="143">
        <f>1-'Passing #10 Sieve'!C51</f>
        <v>0.81951095413946162</v>
      </c>
      <c r="G23" s="402"/>
      <c r="H23" s="290" t="s">
        <v>162</v>
      </c>
      <c r="I23" s="217">
        <f>1-SUM(I4:I22)</f>
        <v>0.19802922642198917</v>
      </c>
      <c r="J23" t="str">
        <f t="shared" si="1"/>
        <v>Clay</v>
      </c>
    </row>
    <row r="31" spans="1:34" ht="13.5" thickBot="1" x14ac:dyDescent="0.25"/>
    <row r="32" spans="1:34" x14ac:dyDescent="0.2">
      <c r="AF32" s="396" t="s">
        <v>166</v>
      </c>
      <c r="AG32" s="397"/>
      <c r="AH32" s="398"/>
    </row>
    <row r="33" spans="13:34" x14ac:dyDescent="0.2">
      <c r="AF33" s="192" t="s">
        <v>34</v>
      </c>
      <c r="AG33" s="193" t="s">
        <v>167</v>
      </c>
      <c r="AH33" s="194" t="s">
        <v>168</v>
      </c>
    </row>
    <row r="34" spans="13:34" x14ac:dyDescent="0.2">
      <c r="AF34" s="195" t="s">
        <v>63</v>
      </c>
      <c r="AG34" s="43"/>
      <c r="AH34" s="102">
        <f>E14/$E$14</f>
        <v>1</v>
      </c>
    </row>
    <row r="35" spans="13:34" x14ac:dyDescent="0.2">
      <c r="AF35" s="61" t="str">
        <f>C15</f>
        <v>No. 100</v>
      </c>
      <c r="AG35" s="43">
        <f>D15</f>
        <v>0.14899999999999999</v>
      </c>
      <c r="AH35" s="102">
        <f>E15/$E$14</f>
        <v>0.99179902962949995</v>
      </c>
    </row>
    <row r="36" spans="13:34" x14ac:dyDescent="0.2">
      <c r="AF36" s="61" t="e">
        <f>#REF!</f>
        <v>#REF!</v>
      </c>
      <c r="AG36" s="43" t="e">
        <f>#REF!</f>
        <v>#REF!</v>
      </c>
      <c r="AH36" s="102" t="e">
        <f>#REF!/$E$14</f>
        <v>#REF!</v>
      </c>
    </row>
    <row r="37" spans="13:34" x14ac:dyDescent="0.2">
      <c r="AF37" s="61" t="e">
        <f>#REF!</f>
        <v>#REF!</v>
      </c>
      <c r="AG37" s="43" t="e">
        <f>#REF!</f>
        <v>#REF!</v>
      </c>
      <c r="AH37" s="102" t="e">
        <f>#REF!/$E$14</f>
        <v>#REF!</v>
      </c>
    </row>
    <row r="38" spans="13:34" x14ac:dyDescent="0.2">
      <c r="AF38" s="61">
        <f t="shared" ref="AF38:AF44" si="2">C17</f>
        <v>3.235416758317234E-2</v>
      </c>
      <c r="AG38" s="43">
        <f t="shared" ref="AG38:AG44" si="3">D17</f>
        <v>3.235416758317234E-2</v>
      </c>
      <c r="AH38" s="102">
        <f t="shared" ref="AH38:AH44" si="4">E17/$E$14</f>
        <v>0.36530446153631291</v>
      </c>
    </row>
    <row r="39" spans="13:34" x14ac:dyDescent="0.2">
      <c r="AF39" s="61">
        <f t="shared" si="2"/>
        <v>2.072105711589059E-2</v>
      </c>
      <c r="AG39" s="43">
        <f t="shared" si="3"/>
        <v>2.072105711589059E-2</v>
      </c>
      <c r="AH39" s="102">
        <f t="shared" si="4"/>
        <v>0.33618598996458071</v>
      </c>
    </row>
    <row r="40" spans="13:34" x14ac:dyDescent="0.2">
      <c r="AF40" s="61">
        <f t="shared" si="2"/>
        <v>1.206177300399904E-2</v>
      </c>
      <c r="AG40" s="43">
        <f t="shared" si="3"/>
        <v>1.206177300399904E-2</v>
      </c>
      <c r="AH40" s="102">
        <f t="shared" si="4"/>
        <v>0.32162675417871461</v>
      </c>
    </row>
    <row r="41" spans="13:34" x14ac:dyDescent="0.2">
      <c r="AF41" s="61">
        <f t="shared" si="2"/>
        <v>8.6323466102792689E-3</v>
      </c>
      <c r="AG41" s="43">
        <f t="shared" si="3"/>
        <v>8.6323466102792689E-3</v>
      </c>
      <c r="AH41" s="102">
        <f t="shared" si="4"/>
        <v>0.29250828260697592</v>
      </c>
    </row>
    <row r="42" spans="13:34" x14ac:dyDescent="0.2">
      <c r="AF42" s="61">
        <f t="shared" si="2"/>
        <v>6.1762299180001387E-3</v>
      </c>
      <c r="AG42" s="43">
        <f t="shared" si="3"/>
        <v>6.1762299180001387E-3</v>
      </c>
      <c r="AH42" s="102">
        <f t="shared" si="4"/>
        <v>0.26338981103524373</v>
      </c>
    </row>
    <row r="43" spans="13:34" ht="13.5" thickBot="1" x14ac:dyDescent="0.25">
      <c r="AF43" s="61">
        <f t="shared" si="2"/>
        <v>3.0257223666423859E-3</v>
      </c>
      <c r="AG43" s="43">
        <f t="shared" si="3"/>
        <v>3.0257223666423859E-3</v>
      </c>
      <c r="AH43" s="102">
        <f t="shared" si="4"/>
        <v>0.25029352312257297</v>
      </c>
    </row>
    <row r="44" spans="13:34" ht="13.5" thickBot="1" x14ac:dyDescent="0.25">
      <c r="M44" s="378" t="s">
        <v>169</v>
      </c>
      <c r="N44" s="379"/>
      <c r="O44" s="379"/>
      <c r="P44" s="379"/>
      <c r="Q44" s="379"/>
      <c r="R44" s="379"/>
      <c r="S44" s="380"/>
      <c r="U44" s="378" t="s">
        <v>170</v>
      </c>
      <c r="V44" s="379"/>
      <c r="W44" s="379"/>
      <c r="X44" s="379"/>
      <c r="Y44" s="379"/>
      <c r="Z44" s="379"/>
      <c r="AA44" s="380"/>
      <c r="AF44" s="66">
        <f t="shared" si="2"/>
        <v>1.2857137663138281E-3</v>
      </c>
      <c r="AG44" s="67">
        <f t="shared" si="3"/>
        <v>1.2857137663138281E-3</v>
      </c>
      <c r="AH44" s="196">
        <f t="shared" si="4"/>
        <v>0.22812410061734975</v>
      </c>
    </row>
    <row r="45" spans="13:34" ht="15.75" x14ac:dyDescent="0.3">
      <c r="M45" s="197"/>
      <c r="N45" s="198" t="s">
        <v>171</v>
      </c>
      <c r="O45" s="199">
        <v>0.06</v>
      </c>
      <c r="P45" s="198" t="s">
        <v>172</v>
      </c>
      <c r="Q45" s="2"/>
      <c r="R45" s="198" t="s">
        <v>173</v>
      </c>
      <c r="S45" s="200">
        <v>10.6</v>
      </c>
      <c r="U45" s="197"/>
      <c r="V45" s="198" t="s">
        <v>171</v>
      </c>
      <c r="W45" s="199">
        <v>6.4000000000000001E-2</v>
      </c>
      <c r="X45" s="198" t="s">
        <v>172</v>
      </c>
      <c r="Y45" s="2"/>
      <c r="Z45" s="198" t="s">
        <v>173</v>
      </c>
      <c r="AA45" s="201">
        <f>S45</f>
        <v>10.6</v>
      </c>
    </row>
    <row r="46" spans="13:34" ht="15.75" x14ac:dyDescent="0.3">
      <c r="M46" s="197"/>
      <c r="N46" s="198" t="s">
        <v>174</v>
      </c>
      <c r="O46" s="199">
        <v>3.1E-2</v>
      </c>
      <c r="P46" s="198" t="s">
        <v>172</v>
      </c>
      <c r="Q46" s="2"/>
      <c r="R46" s="198" t="s">
        <v>175</v>
      </c>
      <c r="S46" s="200">
        <v>31.7</v>
      </c>
      <c r="U46" s="197"/>
      <c r="V46" s="198" t="s">
        <v>174</v>
      </c>
      <c r="W46" s="199">
        <v>4.2000000000000003E-2</v>
      </c>
      <c r="X46" s="198" t="s">
        <v>172</v>
      </c>
      <c r="Y46" s="2"/>
      <c r="Z46" s="198" t="s">
        <v>175</v>
      </c>
      <c r="AA46" s="201">
        <f>S46</f>
        <v>31.7</v>
      </c>
    </row>
    <row r="47" spans="13:34" ht="15.75" x14ac:dyDescent="0.3">
      <c r="M47" s="197"/>
      <c r="N47" s="198" t="s">
        <v>176</v>
      </c>
      <c r="O47" s="199">
        <v>8.5000000000000006E-3</v>
      </c>
      <c r="P47" s="198" t="s">
        <v>172</v>
      </c>
      <c r="Q47" s="2"/>
      <c r="R47" s="198" t="s">
        <v>177</v>
      </c>
      <c r="S47" s="202">
        <f>O45/O47</f>
        <v>7.0588235294117636</v>
      </c>
      <c r="U47" s="197"/>
      <c r="V47" s="198" t="s">
        <v>176</v>
      </c>
      <c r="W47" s="199">
        <v>8.0000000000000002E-3</v>
      </c>
      <c r="X47" s="198" t="s">
        <v>172</v>
      </c>
      <c r="Y47" s="2"/>
      <c r="Z47" s="198" t="s">
        <v>177</v>
      </c>
      <c r="AA47" s="202">
        <f>W45/W47</f>
        <v>8</v>
      </c>
    </row>
    <row r="48" spans="13:34" x14ac:dyDescent="0.2">
      <c r="M48" s="197"/>
      <c r="N48" s="2"/>
      <c r="O48" s="2"/>
      <c r="P48" s="2"/>
      <c r="Q48" s="2"/>
      <c r="R48" s="198" t="s">
        <v>178</v>
      </c>
      <c r="S48" s="203">
        <f>O46^2/(O45*O47)</f>
        <v>1.8843137254901958</v>
      </c>
      <c r="U48" s="197"/>
      <c r="V48" s="2"/>
      <c r="W48" s="2"/>
      <c r="X48" s="2"/>
      <c r="Y48" s="2"/>
      <c r="Z48" s="198" t="s">
        <v>178</v>
      </c>
      <c r="AA48" s="203">
        <f>W46^2/(W45*W47)</f>
        <v>3.4453125000000004</v>
      </c>
    </row>
    <row r="49" spans="13:27" x14ac:dyDescent="0.2">
      <c r="M49" s="197"/>
      <c r="N49" s="2"/>
      <c r="O49" s="2"/>
      <c r="P49" s="2"/>
      <c r="Q49" s="2"/>
      <c r="R49" s="2"/>
      <c r="S49" s="202"/>
      <c r="U49" s="197"/>
      <c r="V49" s="2"/>
      <c r="W49" s="2"/>
      <c r="X49" s="2"/>
      <c r="Y49" s="2"/>
      <c r="Z49" s="2"/>
      <c r="AA49" s="202"/>
    </row>
    <row r="50" spans="13:27" ht="38.25" x14ac:dyDescent="0.2">
      <c r="M50" s="204" t="s">
        <v>179</v>
      </c>
      <c r="N50" s="205" t="s">
        <v>180</v>
      </c>
      <c r="O50" s="206" t="s">
        <v>181</v>
      </c>
      <c r="P50" s="207" t="s">
        <v>182</v>
      </c>
      <c r="Q50" s="207" t="s">
        <v>183</v>
      </c>
      <c r="R50" s="207" t="s">
        <v>184</v>
      </c>
      <c r="S50" s="202"/>
      <c r="U50" s="204" t="s">
        <v>179</v>
      </c>
      <c r="V50" s="205" t="s">
        <v>180</v>
      </c>
      <c r="W50" s="206" t="s">
        <v>181</v>
      </c>
      <c r="X50" s="207" t="s">
        <v>185</v>
      </c>
      <c r="Y50" s="207" t="s">
        <v>186</v>
      </c>
      <c r="Z50" s="207" t="s">
        <v>184</v>
      </c>
      <c r="AA50" s="202"/>
    </row>
    <row r="51" spans="13:27" ht="15" x14ac:dyDescent="0.2">
      <c r="M51" s="208">
        <f>VLOOKUP("No. 200",$C$3:$F$35,4,FALSE)</f>
        <v>0.24892280609587975</v>
      </c>
      <c r="N51" s="216">
        <f>VLOOKUP("No. 4",$C$3:$F$35,4,FALSE)/VLOOKUP("No. 200",$C$3:$F$35,4,FALSE)</f>
        <v>3.915506516587669E-2</v>
      </c>
      <c r="O51" s="210">
        <f>VLOOKUP("No. 200",$C$3:$F$35,3,FALSE)</f>
        <v>0.75107719390412031</v>
      </c>
      <c r="P51" s="211" t="s">
        <v>187</v>
      </c>
      <c r="Q51" s="211"/>
      <c r="R51" s="210">
        <f>VLOOKUP("No. 200",$C$3:$F$35,4,FALSE)-VLOOKUP("No. 4",$C$3:$F$35,4,FALSE)</f>
        <v>0.23917621740192269</v>
      </c>
      <c r="S51" s="212" t="str">
        <f>IF(R51&gt;=0.15," with sand","")</f>
        <v xml:space="preserve"> with sand</v>
      </c>
      <c r="U51" s="208" t="e">
        <f>1-AH37</f>
        <v>#REF!</v>
      </c>
      <c r="V51" s="209">
        <v>0</v>
      </c>
      <c r="W51" s="210" t="e">
        <f>AH37</f>
        <v>#REF!</v>
      </c>
      <c r="X51" s="211" t="s">
        <v>188</v>
      </c>
      <c r="Y51" s="211"/>
      <c r="Z51" s="210" t="e">
        <f>1-AH37</f>
        <v>#REF!</v>
      </c>
      <c r="AA51" s="212" t="e">
        <f>IF(AND(U51&gt;=0.15,U51&lt;=0.19)," with sand",IF(U51&gt;=0.3," sandy",""))</f>
        <v>#REF!</v>
      </c>
    </row>
    <row r="52" spans="13:27" x14ac:dyDescent="0.2">
      <c r="M52" s="197"/>
      <c r="N52" s="2"/>
      <c r="O52" s="2"/>
      <c r="P52" s="2"/>
      <c r="Q52" s="2"/>
      <c r="R52" s="2"/>
      <c r="S52" s="202"/>
      <c r="U52" s="197"/>
      <c r="V52" s="2"/>
      <c r="W52" s="2"/>
      <c r="X52" s="2"/>
      <c r="Y52" s="2"/>
      <c r="Z52" s="2"/>
      <c r="AA52" s="202"/>
    </row>
    <row r="53" spans="13:27" x14ac:dyDescent="0.2">
      <c r="M53" s="197"/>
      <c r="N53" s="2"/>
      <c r="O53" s="2"/>
      <c r="P53" s="2"/>
      <c r="Q53" s="2"/>
      <c r="R53" s="2"/>
      <c r="S53" s="202"/>
      <c r="U53" s="197"/>
      <c r="V53" s="2"/>
      <c r="W53" s="2"/>
      <c r="X53" s="2"/>
      <c r="Y53" s="2"/>
      <c r="Z53" s="2"/>
      <c r="AA53" s="202"/>
    </row>
    <row r="54" spans="13:27" ht="13.5" thickBot="1" x14ac:dyDescent="0.25">
      <c r="M54" s="213"/>
      <c r="N54" s="214"/>
      <c r="O54" s="214"/>
      <c r="P54" s="381" t="str">
        <f>CONCATENATE(P51,"-",Q51,S51)</f>
        <v>GC- with sand</v>
      </c>
      <c r="Q54" s="381"/>
      <c r="R54" s="214"/>
      <c r="S54" s="215"/>
      <c r="U54" s="213"/>
      <c r="V54" s="214"/>
      <c r="W54" s="214"/>
      <c r="X54" s="381" t="e">
        <f>CONCATENATE(X51,"-",Y51,AA51)</f>
        <v>#REF!</v>
      </c>
      <c r="Y54" s="381"/>
      <c r="Z54" s="214"/>
      <c r="AA54" s="215"/>
    </row>
    <row r="59" spans="13:27" x14ac:dyDescent="0.2">
      <c r="N59" s="228" t="s">
        <v>196</v>
      </c>
      <c r="O59" s="228" t="s">
        <v>197</v>
      </c>
      <c r="P59" s="228" t="s">
        <v>197</v>
      </c>
      <c r="Q59" s="231" t="s">
        <v>197</v>
      </c>
    </row>
    <row r="60" spans="13:27" x14ac:dyDescent="0.2">
      <c r="N60" s="229">
        <f>MIN($D$3:$D$34)</f>
        <v>0</v>
      </c>
      <c r="O60" s="230">
        <v>0.6</v>
      </c>
      <c r="P60" s="230">
        <v>0.3</v>
      </c>
      <c r="Q60" s="44">
        <v>0.1</v>
      </c>
    </row>
    <row r="61" spans="13:27" x14ac:dyDescent="0.2">
      <c r="N61" s="229">
        <f>D12</f>
        <v>0.59499999999999997</v>
      </c>
      <c r="O61" s="230">
        <v>0.6</v>
      </c>
      <c r="P61" s="230">
        <v>0.3</v>
      </c>
      <c r="Q61" s="44">
        <v>0.1</v>
      </c>
    </row>
  </sheetData>
  <sortState ref="AA5:AC14">
    <sortCondition ref="AB5:AB14"/>
  </sortState>
  <mergeCells count="23">
    <mergeCell ref="AF32:AH32"/>
    <mergeCell ref="H2:I2"/>
    <mergeCell ref="H17:H22"/>
    <mergeCell ref="I17:I22"/>
    <mergeCell ref="G3:G11"/>
    <mergeCell ref="G17:G23"/>
    <mergeCell ref="G12:G16"/>
    <mergeCell ref="I3:I8"/>
    <mergeCell ref="I9:I11"/>
    <mergeCell ref="M44:S44"/>
    <mergeCell ref="U44:AA44"/>
    <mergeCell ref="P54:Q54"/>
    <mergeCell ref="X54:Y54"/>
    <mergeCell ref="A2:B11"/>
    <mergeCell ref="A12:A23"/>
    <mergeCell ref="B17:B23"/>
    <mergeCell ref="B12:B16"/>
    <mergeCell ref="H3:H8"/>
    <mergeCell ref="H9:H11"/>
    <mergeCell ref="H12:H13"/>
    <mergeCell ref="H14:H16"/>
    <mergeCell ref="I12:I13"/>
    <mergeCell ref="I14:I16"/>
  </mergeCells>
  <pageMargins left="0.7" right="0.7" top="0.75" bottom="0.75" header="0.3" footer="0.3"/>
  <pageSetup orientation="portrait" r:id="rId1"/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W62"/>
  <sheetViews>
    <sheetView view="pageBreakPreview" topLeftCell="A16" zoomScale="130" zoomScaleNormal="100" zoomScaleSheetLayoutView="130" zoomScalePageLayoutView="85" workbookViewId="0">
      <selection activeCell="J30" sqref="J30"/>
    </sheetView>
  </sheetViews>
  <sheetFormatPr defaultRowHeight="12.75" x14ac:dyDescent="0.2"/>
  <cols>
    <col min="1" max="1" width="13.5703125" customWidth="1"/>
    <col min="2" max="2" width="10.5703125" customWidth="1"/>
    <col min="3" max="3" width="11.140625" customWidth="1"/>
    <col min="4" max="4" width="15.5703125" customWidth="1"/>
    <col min="5" max="5" width="17.42578125" customWidth="1"/>
    <col min="6" max="6" width="9.85546875" customWidth="1"/>
    <col min="7" max="8" width="12.42578125" customWidth="1"/>
    <col min="9" max="9" width="3.85546875" bestFit="1" customWidth="1"/>
    <col min="10" max="10" width="7.7109375" customWidth="1"/>
    <col min="11" max="17" width="2.7109375" customWidth="1"/>
    <col min="18" max="18" width="9.28515625" customWidth="1"/>
    <col min="20" max="20" width="10.28515625" customWidth="1"/>
    <col min="22" max="22" width="3.42578125" customWidth="1"/>
  </cols>
  <sheetData>
    <row r="1" spans="1:23" ht="45.75" customHeight="1" x14ac:dyDescent="0.2">
      <c r="A1" s="445"/>
      <c r="B1" s="445"/>
      <c r="C1" s="445"/>
      <c r="D1" s="445"/>
      <c r="E1" s="445"/>
      <c r="F1" s="445"/>
      <c r="G1" s="1"/>
      <c r="H1" s="236"/>
    </row>
    <row r="2" spans="1:23" ht="12.75" customHeight="1" x14ac:dyDescent="0.2">
      <c r="B2" s="406" t="s">
        <v>9</v>
      </c>
      <c r="C2" s="406"/>
      <c r="D2" s="406"/>
      <c r="E2" s="406"/>
      <c r="F2" s="406"/>
      <c r="G2" s="7"/>
      <c r="H2" s="7"/>
      <c r="I2" s="406" t="s">
        <v>9</v>
      </c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</row>
    <row r="3" spans="1:23" ht="15.75" x14ac:dyDescent="0.25">
      <c r="B3" s="3"/>
      <c r="C3" s="407" t="s">
        <v>8</v>
      </c>
      <c r="D3" s="407"/>
      <c r="E3" s="407"/>
      <c r="F3" s="1"/>
      <c r="G3" s="1"/>
      <c r="H3" s="236"/>
      <c r="I3" s="407" t="s">
        <v>8</v>
      </c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</row>
    <row r="5" spans="1:23" ht="15.95" customHeight="1" x14ac:dyDescent="0.25">
      <c r="A5" s="4" t="s">
        <v>0</v>
      </c>
      <c r="B5" s="450" t="s">
        <v>189</v>
      </c>
      <c r="C5" s="450"/>
      <c r="D5" s="4" t="s">
        <v>1</v>
      </c>
      <c r="E5" s="451">
        <v>43767</v>
      </c>
      <c r="F5" s="451"/>
      <c r="G5" s="451"/>
      <c r="H5" s="35"/>
      <c r="K5" s="413" t="s">
        <v>16</v>
      </c>
      <c r="L5" s="413"/>
      <c r="M5" s="413"/>
      <c r="N5" s="413"/>
      <c r="O5" s="413"/>
      <c r="P5" s="413"/>
      <c r="Q5" s="413"/>
      <c r="R5" s="413"/>
      <c r="S5" s="413"/>
      <c r="T5" s="413"/>
      <c r="U5" s="413"/>
    </row>
    <row r="6" spans="1:23" ht="15.95" customHeight="1" thickBot="1" x14ac:dyDescent="0.25">
      <c r="A6" s="4" t="s">
        <v>2</v>
      </c>
      <c r="B6" s="446" t="s">
        <v>190</v>
      </c>
      <c r="C6" s="446"/>
      <c r="D6" s="4" t="s">
        <v>24</v>
      </c>
      <c r="E6" s="446" t="s">
        <v>223</v>
      </c>
      <c r="F6" s="446"/>
      <c r="G6" s="446"/>
      <c r="H6" s="35"/>
      <c r="J6" s="4"/>
      <c r="K6" s="4"/>
      <c r="L6" s="4"/>
      <c r="M6" s="411" t="s">
        <v>17</v>
      </c>
      <c r="N6" s="411"/>
      <c r="O6" s="411"/>
      <c r="P6" s="411"/>
      <c r="Q6" s="411"/>
      <c r="R6" s="411"/>
      <c r="S6" s="442" t="s">
        <v>21</v>
      </c>
      <c r="T6" s="442"/>
      <c r="U6" s="442"/>
    </row>
    <row r="7" spans="1:23" ht="15.95" customHeight="1" thickBot="1" x14ac:dyDescent="0.25">
      <c r="A7" s="4" t="s">
        <v>3</v>
      </c>
      <c r="B7" s="446" t="s">
        <v>224</v>
      </c>
      <c r="C7" s="446"/>
      <c r="D7" s="4" t="s">
        <v>25</v>
      </c>
      <c r="E7" s="446" t="s">
        <v>205</v>
      </c>
      <c r="F7" s="446"/>
      <c r="G7" s="446"/>
      <c r="H7" s="242"/>
      <c r="J7" s="4"/>
      <c r="K7" s="4"/>
      <c r="L7" s="4"/>
      <c r="M7" s="411" t="s">
        <v>31</v>
      </c>
      <c r="N7" s="411"/>
      <c r="O7" s="411"/>
      <c r="P7" s="411"/>
      <c r="Q7" s="411"/>
      <c r="R7" s="411"/>
      <c r="S7" s="442" t="s">
        <v>20</v>
      </c>
      <c r="T7" s="442"/>
      <c r="U7" s="442"/>
    </row>
    <row r="8" spans="1:23" ht="15.95" customHeight="1" thickBot="1" x14ac:dyDescent="0.25">
      <c r="A8" s="4" t="s">
        <v>15</v>
      </c>
      <c r="B8" s="446" t="s">
        <v>192</v>
      </c>
      <c r="C8" s="446"/>
      <c r="D8" s="4" t="s">
        <v>26</v>
      </c>
      <c r="E8" s="452"/>
      <c r="F8" s="452"/>
      <c r="G8" s="452"/>
      <c r="H8" s="243"/>
      <c r="J8" s="4"/>
      <c r="K8" s="4"/>
      <c r="L8" s="4"/>
      <c r="M8" s="411" t="s">
        <v>18</v>
      </c>
      <c r="N8" s="411"/>
      <c r="O8" s="411"/>
      <c r="P8" s="411"/>
      <c r="Q8" s="411"/>
      <c r="R8" s="411"/>
      <c r="S8" s="442" t="s">
        <v>19</v>
      </c>
      <c r="T8" s="442"/>
      <c r="U8" s="442"/>
    </row>
    <row r="9" spans="1:23" ht="15.95" customHeight="1" thickBot="1" x14ac:dyDescent="0.25">
      <c r="A9" s="4" t="s">
        <v>30</v>
      </c>
      <c r="B9" s="446" t="s">
        <v>204</v>
      </c>
      <c r="C9" s="446"/>
      <c r="D9" s="4" t="s">
        <v>4</v>
      </c>
      <c r="E9" s="447" t="s">
        <v>201</v>
      </c>
      <c r="F9" s="447"/>
      <c r="G9" s="447"/>
      <c r="H9" s="35"/>
      <c r="J9" s="4"/>
      <c r="K9" s="4"/>
      <c r="L9" s="4"/>
      <c r="M9" s="411" t="s">
        <v>32</v>
      </c>
      <c r="N9" s="411"/>
      <c r="O9" s="411"/>
      <c r="P9" s="411"/>
      <c r="Q9" s="411"/>
      <c r="R9" s="411"/>
      <c r="S9" s="442" t="s">
        <v>22</v>
      </c>
      <c r="T9" s="442"/>
      <c r="U9" s="442"/>
    </row>
    <row r="10" spans="1:23" ht="15.95" customHeight="1" thickBot="1" x14ac:dyDescent="0.25">
      <c r="A10" s="4" t="s">
        <v>29</v>
      </c>
      <c r="B10" s="446" t="s">
        <v>225</v>
      </c>
      <c r="C10" s="446"/>
      <c r="D10" s="411" t="s">
        <v>219</v>
      </c>
      <c r="E10" s="411"/>
      <c r="F10" s="453">
        <f>Concentration!B14</f>
        <v>1.5601593995191148E-3</v>
      </c>
      <c r="G10" s="453"/>
      <c r="J10" s="4"/>
      <c r="K10" s="4"/>
      <c r="L10" s="4"/>
      <c r="M10" s="412" t="s">
        <v>33</v>
      </c>
      <c r="N10" s="412"/>
      <c r="O10" s="412"/>
      <c r="P10" s="412"/>
      <c r="Q10" s="412"/>
      <c r="R10" s="412"/>
      <c r="S10" s="442" t="s">
        <v>23</v>
      </c>
      <c r="T10" s="442"/>
      <c r="U10" s="442"/>
    </row>
    <row r="11" spans="1:23" ht="15.95" customHeight="1" x14ac:dyDescent="0.25">
      <c r="A11" s="4" t="s">
        <v>28</v>
      </c>
      <c r="B11" s="448">
        <v>43608</v>
      </c>
      <c r="C11" s="448"/>
      <c r="D11" s="411" t="s">
        <v>220</v>
      </c>
      <c r="E11" s="411"/>
      <c r="F11" s="453">
        <f>Concentration!B15</f>
        <v>1.0379438832559511E-4</v>
      </c>
      <c r="G11" s="453"/>
      <c r="J11" s="232" t="s">
        <v>199</v>
      </c>
      <c r="K11" s="425" t="s">
        <v>163</v>
      </c>
      <c r="L11" s="426"/>
      <c r="M11" s="426"/>
      <c r="N11" s="427"/>
      <c r="O11" s="443" t="s">
        <v>198</v>
      </c>
      <c r="P11" s="444"/>
      <c r="Q11" s="444"/>
      <c r="R11" s="38" t="s">
        <v>159</v>
      </c>
      <c r="S11" s="38" t="s">
        <v>160</v>
      </c>
      <c r="T11" s="37" t="s">
        <v>161</v>
      </c>
      <c r="U11" s="39" t="s">
        <v>162</v>
      </c>
    </row>
    <row r="12" spans="1:23" ht="15.95" customHeight="1" thickBot="1" x14ac:dyDescent="0.25">
      <c r="A12" s="4" t="s">
        <v>27</v>
      </c>
      <c r="B12" s="446" t="s">
        <v>191</v>
      </c>
      <c r="C12" s="446"/>
      <c r="D12" s="411" t="s">
        <v>221</v>
      </c>
      <c r="E12" s="411"/>
      <c r="F12" s="453">
        <f>Concentration!B16</f>
        <v>1.66395378784471E-3</v>
      </c>
      <c r="G12" s="453"/>
      <c r="H12" s="237"/>
      <c r="J12" s="233">
        <f>1-SUM(K12:U12)</f>
        <v>6.2378167641326199E-2</v>
      </c>
      <c r="K12" s="428">
        <f>IFERROR(VLOOKUP(K11,TOTALS!$H$3:$I$38,2,FALSE),0)</f>
        <v>0</v>
      </c>
      <c r="L12" s="429"/>
      <c r="M12" s="429"/>
      <c r="N12" s="430"/>
      <c r="O12" s="428">
        <f>IFERROR(VLOOKUP(O11,TOTALS!$H$3:$I$38,2,FALSE),0)</f>
        <v>0</v>
      </c>
      <c r="P12" s="429"/>
      <c r="Q12" s="429"/>
      <c r="R12" s="40">
        <f>IFERROR(VLOOKUP(R11,TOTALS!$H$3:$I$38,2,FALSE),0)</f>
        <v>0.12342914022645127</v>
      </c>
      <c r="S12" s="40">
        <f>IFERROR(VLOOKUP(S11,TOTALS!$H$3:$I$38,2,FALSE),0)</f>
        <v>6.3115498228102168E-2</v>
      </c>
      <c r="T12" s="40">
        <f>IFERROR(VLOOKUP(T11,TOTALS!$H$3:$I$38,2,FALSE),0)</f>
        <v>0.55304796748213114</v>
      </c>
      <c r="U12" s="196">
        <f>IFERROR(VLOOKUP(U11,TOTALS!$H$3:$I$38,2,FALSE),0)</f>
        <v>0.19802922642198917</v>
      </c>
    </row>
    <row r="13" spans="1:23" ht="14.25" customHeight="1" thickBot="1" x14ac:dyDescent="0.25">
      <c r="E13" s="449">
        <v>2.65</v>
      </c>
      <c r="F13" s="449"/>
      <c r="G13" s="36"/>
      <c r="S13" s="408" t="s">
        <v>200</v>
      </c>
      <c r="T13" s="409"/>
      <c r="U13" s="410"/>
    </row>
    <row r="14" spans="1:23" ht="18" customHeight="1" thickBot="1" x14ac:dyDescent="0.25">
      <c r="S14" s="240"/>
      <c r="T14" s="241"/>
      <c r="U14" s="251">
        <f>'Passing #10 Sieve'!I11</f>
        <v>0.68810916179337256</v>
      </c>
    </row>
    <row r="15" spans="1:23" ht="18" customHeight="1" x14ac:dyDescent="0.2"/>
    <row r="16" spans="1:23" ht="13.5" thickBot="1" x14ac:dyDescent="0.25"/>
    <row r="17" spans="12:20" x14ac:dyDescent="0.2">
      <c r="L17" s="435" t="s">
        <v>148</v>
      </c>
      <c r="M17" s="436"/>
      <c r="N17" s="421" t="str">
        <f>TOTALS!C2</f>
        <v>Sieve</v>
      </c>
      <c r="O17" s="416"/>
      <c r="P17" s="422"/>
      <c r="Q17" s="418" t="str">
        <f>TOTALS!D2</f>
        <v>Sieve Size (mm)</v>
      </c>
      <c r="R17" s="418"/>
      <c r="S17" s="416" t="str">
        <f>TOTALS!E2</f>
        <v>Percent Passing</v>
      </c>
      <c r="T17" s="433" t="str">
        <f>TOTALS!F2</f>
        <v>Percent Retained</v>
      </c>
    </row>
    <row r="18" spans="12:20" ht="20.25" customHeight="1" x14ac:dyDescent="0.2">
      <c r="L18" s="437"/>
      <c r="M18" s="438"/>
      <c r="N18" s="423"/>
      <c r="O18" s="417"/>
      <c r="P18" s="424"/>
      <c r="Q18" s="419"/>
      <c r="R18" s="419"/>
      <c r="S18" s="417"/>
      <c r="T18" s="434"/>
    </row>
    <row r="19" spans="12:20" s="244" customFormat="1" ht="18.95" customHeight="1" x14ac:dyDescent="0.2">
      <c r="L19" s="437"/>
      <c r="M19" s="438"/>
      <c r="N19" s="420">
        <f>TOTALS!C3</f>
        <v>0</v>
      </c>
      <c r="O19" s="420"/>
      <c r="P19" s="420"/>
      <c r="Q19" s="420">
        <f>TOTALS!D3</f>
        <v>0</v>
      </c>
      <c r="R19" s="420"/>
      <c r="S19" s="245">
        <f>TOTALS!E3</f>
        <v>1</v>
      </c>
      <c r="T19" s="246">
        <f>TOTALS!F3</f>
        <v>0</v>
      </c>
    </row>
    <row r="20" spans="12:20" s="244" customFormat="1" ht="18.95" customHeight="1" x14ac:dyDescent="0.2">
      <c r="L20" s="437"/>
      <c r="M20" s="438"/>
      <c r="N20" s="420">
        <f>TOTALS!C4</f>
        <v>0</v>
      </c>
      <c r="O20" s="420"/>
      <c r="P20" s="420"/>
      <c r="Q20" s="420">
        <f>TOTALS!D4</f>
        <v>0</v>
      </c>
      <c r="R20" s="420"/>
      <c r="S20" s="245">
        <f>TOTALS!E4</f>
        <v>1</v>
      </c>
      <c r="T20" s="246">
        <f>TOTALS!F4</f>
        <v>0</v>
      </c>
    </row>
    <row r="21" spans="12:20" s="244" customFormat="1" ht="18.95" customHeight="1" x14ac:dyDescent="0.2">
      <c r="L21" s="437"/>
      <c r="M21" s="438"/>
      <c r="N21" s="420">
        <f>TOTALS!C5</f>
        <v>0</v>
      </c>
      <c r="O21" s="420"/>
      <c r="P21" s="420"/>
      <c r="Q21" s="420">
        <f>TOTALS!D5</f>
        <v>0</v>
      </c>
      <c r="R21" s="420"/>
      <c r="S21" s="245">
        <f>TOTALS!E5</f>
        <v>1</v>
      </c>
      <c r="T21" s="246">
        <f>TOTALS!F5</f>
        <v>0</v>
      </c>
    </row>
    <row r="22" spans="12:20" s="244" customFormat="1" ht="18.95" customHeight="1" x14ac:dyDescent="0.2">
      <c r="L22" s="437"/>
      <c r="M22" s="438"/>
      <c r="N22" s="420">
        <f>TOTALS!C6</f>
        <v>0</v>
      </c>
      <c r="O22" s="420"/>
      <c r="P22" s="420"/>
      <c r="Q22" s="420">
        <f>TOTALS!D6</f>
        <v>0</v>
      </c>
      <c r="R22" s="420"/>
      <c r="S22" s="245">
        <f>TOTALS!E6</f>
        <v>1</v>
      </c>
      <c r="T22" s="246">
        <f>TOTALS!F6</f>
        <v>0</v>
      </c>
    </row>
    <row r="23" spans="12:20" s="244" customFormat="1" ht="18.95" customHeight="1" x14ac:dyDescent="0.2">
      <c r="L23" s="437"/>
      <c r="M23" s="438"/>
      <c r="N23" s="420">
        <f>TOTALS!C7</f>
        <v>0</v>
      </c>
      <c r="O23" s="420"/>
      <c r="P23" s="420"/>
      <c r="Q23" s="420">
        <f>TOTALS!D7</f>
        <v>0</v>
      </c>
      <c r="R23" s="420"/>
      <c r="S23" s="245">
        <f>TOTALS!E7</f>
        <v>1</v>
      </c>
      <c r="T23" s="246">
        <f>TOTALS!F7</f>
        <v>0</v>
      </c>
    </row>
    <row r="24" spans="12:20" s="244" customFormat="1" ht="18.95" customHeight="1" x14ac:dyDescent="0.2">
      <c r="L24" s="437"/>
      <c r="M24" s="438"/>
      <c r="N24" s="420">
        <f>TOTALS!C8</f>
        <v>0</v>
      </c>
      <c r="O24" s="420"/>
      <c r="P24" s="420"/>
      <c r="Q24" s="420">
        <f>TOTALS!D8</f>
        <v>0</v>
      </c>
      <c r="R24" s="420"/>
      <c r="S24" s="245">
        <f>TOTALS!E8</f>
        <v>1</v>
      </c>
      <c r="T24" s="246">
        <f>TOTALS!F8</f>
        <v>0</v>
      </c>
    </row>
    <row r="25" spans="12:20" s="244" customFormat="1" ht="18.95" customHeight="1" x14ac:dyDescent="0.2">
      <c r="L25" s="437"/>
      <c r="M25" s="438"/>
      <c r="N25" s="420" t="str">
        <f>TOTALS!C9</f>
        <v>No. 4</v>
      </c>
      <c r="O25" s="420"/>
      <c r="P25" s="420"/>
      <c r="Q25" s="420">
        <f>TOTALS!D9</f>
        <v>4.76</v>
      </c>
      <c r="R25" s="420"/>
      <c r="S25" s="245">
        <f>TOTALS!E9</f>
        <v>0.99025341130604294</v>
      </c>
      <c r="T25" s="246">
        <f>TOTALS!F9</f>
        <v>9.746588693957059E-3</v>
      </c>
    </row>
    <row r="26" spans="12:20" s="244" customFormat="1" ht="18.95" customHeight="1" x14ac:dyDescent="0.2">
      <c r="L26" s="437"/>
      <c r="M26" s="438"/>
      <c r="N26" s="420" t="str">
        <f>TOTALS!C10</f>
        <v>No. 8</v>
      </c>
      <c r="O26" s="420"/>
      <c r="P26" s="420"/>
      <c r="Q26" s="420">
        <f>TOTALS!D10</f>
        <v>2.38</v>
      </c>
      <c r="R26" s="420"/>
      <c r="S26" s="245">
        <f>TOTALS!E10</f>
        <v>0.95906432748537973</v>
      </c>
      <c r="T26" s="246">
        <f>TOTALS!F10</f>
        <v>4.0935672514620269E-2</v>
      </c>
    </row>
    <row r="27" spans="12:20" s="244" customFormat="1" ht="18.95" customHeight="1" thickBot="1" x14ac:dyDescent="0.25">
      <c r="L27" s="437"/>
      <c r="M27" s="438"/>
      <c r="N27" s="431" t="str">
        <f>TOTALS!C11</f>
        <v>No. 10</v>
      </c>
      <c r="O27" s="431"/>
      <c r="P27" s="431"/>
      <c r="Q27" s="431">
        <f>TOTALS!D11</f>
        <v>2</v>
      </c>
      <c r="R27" s="431"/>
      <c r="S27" s="247">
        <f>TOTALS!E11</f>
        <v>0.93762183235867369</v>
      </c>
      <c r="T27" s="248">
        <f>TOTALS!F11</f>
        <v>6.237816764132631E-2</v>
      </c>
    </row>
    <row r="28" spans="12:20" s="244" customFormat="1" ht="18.95" customHeight="1" x14ac:dyDescent="0.2">
      <c r="L28" s="382" t="s">
        <v>149</v>
      </c>
      <c r="M28" s="439" t="s">
        <v>165</v>
      </c>
      <c r="N28" s="432" t="str">
        <f>TOTALS!C12</f>
        <v>No. 30</v>
      </c>
      <c r="O28" s="432"/>
      <c r="P28" s="432"/>
      <c r="Q28" s="432">
        <f>TOTALS!D12</f>
        <v>0.59499999999999997</v>
      </c>
      <c r="R28" s="432"/>
      <c r="S28" s="249">
        <f>TOTALS!E12</f>
        <v>0.9121101940561942</v>
      </c>
      <c r="T28" s="250">
        <f>TOTALS!F12</f>
        <v>8.7889805943805771E-2</v>
      </c>
    </row>
    <row r="29" spans="12:20" s="244" customFormat="1" ht="18.95" customHeight="1" x14ac:dyDescent="0.2">
      <c r="L29" s="384"/>
      <c r="M29" s="440"/>
      <c r="N29" s="420" t="str">
        <f>TOTALS!C13</f>
        <v>No. 60</v>
      </c>
      <c r="O29" s="420"/>
      <c r="P29" s="420"/>
      <c r="Q29" s="420">
        <f>TOTALS!D13</f>
        <v>0.25</v>
      </c>
      <c r="R29" s="420"/>
      <c r="S29" s="234">
        <f>TOTALS!E13</f>
        <v>0.81419269213222245</v>
      </c>
      <c r="T29" s="246">
        <f>TOTALS!F13</f>
        <v>0.18580730786777758</v>
      </c>
    </row>
    <row r="30" spans="12:20" s="244" customFormat="1" ht="18.95" customHeight="1" x14ac:dyDescent="0.2">
      <c r="L30" s="384"/>
      <c r="M30" s="440"/>
      <c r="N30" s="420" t="str">
        <f>TOTALS!C14</f>
        <v>No. 80</v>
      </c>
      <c r="O30" s="420"/>
      <c r="P30" s="420"/>
      <c r="Q30" s="420">
        <f>TOTALS!D14</f>
        <v>0.17699999999999999</v>
      </c>
      <c r="R30" s="420"/>
      <c r="S30" s="234">
        <f>TOTALS!E14</f>
        <v>0.79118797782478345</v>
      </c>
      <c r="T30" s="246">
        <f>TOTALS!F14</f>
        <v>0.20881202217521658</v>
      </c>
    </row>
    <row r="31" spans="12:20" s="244" customFormat="1" ht="18.95" customHeight="1" x14ac:dyDescent="0.2">
      <c r="L31" s="384"/>
      <c r="M31" s="440"/>
      <c r="N31" s="420" t="str">
        <f>TOTALS!C15</f>
        <v>No. 100</v>
      </c>
      <c r="O31" s="420"/>
      <c r="P31" s="420"/>
      <c r="Q31" s="420">
        <f>TOTALS!D15</f>
        <v>0.14899999999999999</v>
      </c>
      <c r="R31" s="420"/>
      <c r="S31" s="234">
        <f>TOTALS!E15</f>
        <v>0.78469946866114659</v>
      </c>
      <c r="T31" s="246">
        <f>TOTALS!F15</f>
        <v>0.21530053133885341</v>
      </c>
    </row>
    <row r="32" spans="12:20" s="244" customFormat="1" ht="18.95" customHeight="1" x14ac:dyDescent="0.2">
      <c r="L32" s="384"/>
      <c r="M32" s="440" t="s">
        <v>131</v>
      </c>
      <c r="N32" s="414">
        <f>TOTALS!C17</f>
        <v>3.235416758317234E-2</v>
      </c>
      <c r="O32" s="414"/>
      <c r="P32" s="414"/>
      <c r="Q32" s="414">
        <f>TOTALS!D17</f>
        <v>3.235416758317234E-2</v>
      </c>
      <c r="R32" s="414"/>
      <c r="S32" s="235">
        <f>TOTALS!E17</f>
        <v>0.2890244982132868</v>
      </c>
      <c r="T32" s="238">
        <f>TOTALS!F17</f>
        <v>0.7109755017867132</v>
      </c>
    </row>
    <row r="33" spans="7:22" s="244" customFormat="1" ht="18.95" customHeight="1" x14ac:dyDescent="0.2">
      <c r="L33" s="384"/>
      <c r="M33" s="440"/>
      <c r="N33" s="414">
        <f>TOTALS!C18</f>
        <v>2.072105711589059E-2</v>
      </c>
      <c r="O33" s="414"/>
      <c r="P33" s="414"/>
      <c r="Q33" s="414">
        <f>TOTALS!D18</f>
        <v>2.072105711589059E-2</v>
      </c>
      <c r="R33" s="414"/>
      <c r="S33" s="235">
        <f>TOTALS!E18</f>
        <v>0.26598631357309954</v>
      </c>
      <c r="T33" s="238">
        <f>TOTALS!F18</f>
        <v>0.73401368642690046</v>
      </c>
    </row>
    <row r="34" spans="7:22" s="244" customFormat="1" ht="18.95" customHeight="1" x14ac:dyDescent="0.2">
      <c r="L34" s="384"/>
      <c r="M34" s="440"/>
      <c r="N34" s="414">
        <f>TOTALS!C19</f>
        <v>1.206177300399904E-2</v>
      </c>
      <c r="O34" s="414"/>
      <c r="P34" s="414"/>
      <c r="Q34" s="414">
        <f>TOTALS!D19</f>
        <v>1.206177300399904E-2</v>
      </c>
      <c r="R34" s="414"/>
      <c r="S34" s="235">
        <f>TOTALS!E19</f>
        <v>0.25446722125300592</v>
      </c>
      <c r="T34" s="238">
        <f>TOTALS!F19</f>
        <v>0.74553277874699408</v>
      </c>
    </row>
    <row r="35" spans="7:22" s="244" customFormat="1" ht="18.95" customHeight="1" x14ac:dyDescent="0.2">
      <c r="L35" s="384"/>
      <c r="M35" s="440"/>
      <c r="N35" s="414">
        <f>TOTALS!C20</f>
        <v>8.6323466102792689E-3</v>
      </c>
      <c r="O35" s="414"/>
      <c r="P35" s="414"/>
      <c r="Q35" s="414">
        <f>TOTALS!D20</f>
        <v>8.6323466102792689E-3</v>
      </c>
      <c r="R35" s="414"/>
      <c r="S35" s="235">
        <f>TOTALS!E20</f>
        <v>0.23142903661281355</v>
      </c>
      <c r="T35" s="238">
        <f>TOTALS!F20</f>
        <v>0.76857096338718645</v>
      </c>
    </row>
    <row r="36" spans="7:22" s="244" customFormat="1" ht="18.95" customHeight="1" x14ac:dyDescent="0.2">
      <c r="L36" s="384"/>
      <c r="M36" s="440"/>
      <c r="N36" s="414">
        <f>TOTALS!C21</f>
        <v>6.1762299180001387E-3</v>
      </c>
      <c r="O36" s="414"/>
      <c r="P36" s="414"/>
      <c r="Q36" s="414">
        <f>TOTALS!D21</f>
        <v>6.1762299180001387E-3</v>
      </c>
      <c r="R36" s="414"/>
      <c r="S36" s="235">
        <f>TOTALS!E21</f>
        <v>0.2083908519726263</v>
      </c>
      <c r="T36" s="238">
        <f>TOTALS!F21</f>
        <v>0.7916091480273737</v>
      </c>
    </row>
    <row r="37" spans="7:22" s="244" customFormat="1" ht="18.95" customHeight="1" x14ac:dyDescent="0.2">
      <c r="L37" s="384"/>
      <c r="M37" s="440"/>
      <c r="N37" s="414">
        <f>TOTALS!C22</f>
        <v>3.0257223666423859E-3</v>
      </c>
      <c r="O37" s="414"/>
      <c r="P37" s="414"/>
      <c r="Q37" s="414">
        <f>TOTALS!D22</f>
        <v>3.0257223666423859E-3</v>
      </c>
      <c r="R37" s="414"/>
      <c r="S37" s="235">
        <f>TOTALS!E22</f>
        <v>0.19802922642198917</v>
      </c>
      <c r="T37" s="238">
        <f>TOTALS!F22</f>
        <v>0.80197077357801083</v>
      </c>
    </row>
    <row r="38" spans="7:22" s="244" customFormat="1" ht="18.95" customHeight="1" thickBot="1" x14ac:dyDescent="0.25">
      <c r="L38" s="386"/>
      <c r="M38" s="441"/>
      <c r="N38" s="415">
        <f>TOTALS!C23</f>
        <v>1.2857137663138281E-3</v>
      </c>
      <c r="O38" s="415"/>
      <c r="P38" s="415"/>
      <c r="Q38" s="415">
        <f>TOTALS!D23</f>
        <v>1.2857137663138281E-3</v>
      </c>
      <c r="R38" s="415"/>
      <c r="S38" s="138">
        <f>TOTALS!E23</f>
        <v>0.18048904586053838</v>
      </c>
      <c r="T38" s="239">
        <f>TOTALS!F23</f>
        <v>0.81951095413946162</v>
      </c>
    </row>
    <row r="39" spans="7:22" ht="20.25" customHeight="1" x14ac:dyDescent="0.2">
      <c r="G39" s="7" t="s">
        <v>202</v>
      </c>
      <c r="V39" s="7" t="s">
        <v>203</v>
      </c>
    </row>
    <row r="40" spans="7:22" ht="20.25" customHeight="1" x14ac:dyDescent="0.2"/>
    <row r="41" spans="7:22" ht="20.25" customHeight="1" x14ac:dyDescent="0.2"/>
    <row r="42" spans="7:22" ht="32.25" customHeight="1" x14ac:dyDescent="0.2"/>
    <row r="62" spans="1:5" x14ac:dyDescent="0.2">
      <c r="A62" s="31"/>
      <c r="B62" s="26"/>
      <c r="C62" s="26"/>
      <c r="E62" s="2"/>
    </row>
  </sheetData>
  <mergeCells count="89">
    <mergeCell ref="D12:E12"/>
    <mergeCell ref="B11:C11"/>
    <mergeCell ref="E13:F13"/>
    <mergeCell ref="B2:F2"/>
    <mergeCell ref="C3:E3"/>
    <mergeCell ref="E7:G7"/>
    <mergeCell ref="E6:G6"/>
    <mergeCell ref="B6:C6"/>
    <mergeCell ref="B5:C5"/>
    <mergeCell ref="E5:G5"/>
    <mergeCell ref="E8:G8"/>
    <mergeCell ref="B12:C12"/>
    <mergeCell ref="F10:G10"/>
    <mergeCell ref="F11:G11"/>
    <mergeCell ref="F12:G12"/>
    <mergeCell ref="D10:E10"/>
    <mergeCell ref="D11:E11"/>
    <mergeCell ref="A1:F1"/>
    <mergeCell ref="B9:C9"/>
    <mergeCell ref="B8:C8"/>
    <mergeCell ref="B7:C7"/>
    <mergeCell ref="B10:C10"/>
    <mergeCell ref="E9:G9"/>
    <mergeCell ref="M32:M38"/>
    <mergeCell ref="L28:L38"/>
    <mergeCell ref="S6:U6"/>
    <mergeCell ref="S7:U7"/>
    <mergeCell ref="S8:U8"/>
    <mergeCell ref="N22:P22"/>
    <mergeCell ref="N23:P23"/>
    <mergeCell ref="N24:P24"/>
    <mergeCell ref="N25:P25"/>
    <mergeCell ref="N26:P26"/>
    <mergeCell ref="S9:U9"/>
    <mergeCell ref="S10:U10"/>
    <mergeCell ref="O12:Q12"/>
    <mergeCell ref="O11:Q11"/>
    <mergeCell ref="Q27:R27"/>
    <mergeCell ref="Q28:R28"/>
    <mergeCell ref="Q29:R29"/>
    <mergeCell ref="T17:T18"/>
    <mergeCell ref="L17:M27"/>
    <mergeCell ref="M28:M31"/>
    <mergeCell ref="N20:P20"/>
    <mergeCell ref="N21:P21"/>
    <mergeCell ref="Q22:R22"/>
    <mergeCell ref="Q23:R23"/>
    <mergeCell ref="Q24:R24"/>
    <mergeCell ref="N37:P37"/>
    <mergeCell ref="N38:P38"/>
    <mergeCell ref="N17:P18"/>
    <mergeCell ref="K11:N11"/>
    <mergeCell ref="K12:N12"/>
    <mergeCell ref="N32:P32"/>
    <mergeCell ref="N33:P33"/>
    <mergeCell ref="N34:P34"/>
    <mergeCell ref="N35:P35"/>
    <mergeCell ref="N36:P36"/>
    <mergeCell ref="N27:P27"/>
    <mergeCell ref="N28:P28"/>
    <mergeCell ref="N29:P29"/>
    <mergeCell ref="N30:P30"/>
    <mergeCell ref="N31:P31"/>
    <mergeCell ref="N19:P19"/>
    <mergeCell ref="Q35:R35"/>
    <mergeCell ref="Q36:R36"/>
    <mergeCell ref="Q37:R37"/>
    <mergeCell ref="Q38:R38"/>
    <mergeCell ref="S17:S18"/>
    <mergeCell ref="Q17:R18"/>
    <mergeCell ref="Q30:R30"/>
    <mergeCell ref="Q31:R31"/>
    <mergeCell ref="Q32:R32"/>
    <mergeCell ref="Q33:R33"/>
    <mergeCell ref="Q34:R34"/>
    <mergeCell ref="Q19:R19"/>
    <mergeCell ref="Q20:R20"/>
    <mergeCell ref="Q21:R21"/>
    <mergeCell ref="Q25:R25"/>
    <mergeCell ref="Q26:R26"/>
    <mergeCell ref="I2:W2"/>
    <mergeCell ref="I3:W3"/>
    <mergeCell ref="S13:U13"/>
    <mergeCell ref="M6:R6"/>
    <mergeCell ref="M7:R7"/>
    <mergeCell ref="M8:R8"/>
    <mergeCell ref="M9:R9"/>
    <mergeCell ref="M10:R10"/>
    <mergeCell ref="K5:U5"/>
  </mergeCells>
  <phoneticPr fontId="0" type="noConversion"/>
  <printOptions horizontalCentered="1" verticalCentered="1"/>
  <pageMargins left="0.2" right="0.2" top="0.2" bottom="0.2" header="0" footer="0"/>
  <pageSetup fitToWidth="2" orientation="portrait" r:id="rId1"/>
  <headerFooter alignWithMargins="0"/>
  <colBreaks count="1" manualBreakCount="1">
    <brk id="7" max="3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N32" sqref="N32"/>
    </sheetView>
  </sheetViews>
  <sheetFormatPr defaultRowHeight="12.75" x14ac:dyDescent="0.2"/>
  <cols>
    <col min="1" max="2" width="3.28515625" bestFit="1" customWidth="1"/>
    <col min="3" max="3" width="21.7109375" bestFit="1" customWidth="1"/>
    <col min="4" max="4" width="21.7109375" customWidth="1"/>
    <col min="5" max="5" width="13.5703125" customWidth="1"/>
    <col min="6" max="6" width="10" customWidth="1"/>
    <col min="7" max="7" width="11.85546875" customWidth="1"/>
    <col min="8" max="10" width="9.28515625" customWidth="1"/>
    <col min="11" max="11" width="8.85546875" customWidth="1"/>
    <col min="12" max="12" width="11.42578125" customWidth="1"/>
  </cols>
  <sheetData>
    <row r="1" spans="1:14" ht="13.5" customHeight="1" x14ac:dyDescent="0.2">
      <c r="E1" s="396" t="s">
        <v>234</v>
      </c>
      <c r="F1" s="454"/>
      <c r="G1" s="396" t="s">
        <v>237</v>
      </c>
      <c r="H1" s="454"/>
      <c r="I1" s="461" t="s">
        <v>235</v>
      </c>
      <c r="J1" s="463"/>
      <c r="K1" s="461" t="s">
        <v>236</v>
      </c>
      <c r="L1" s="462"/>
      <c r="M1" s="465" t="s">
        <v>244</v>
      </c>
      <c r="N1" s="466"/>
    </row>
    <row r="2" spans="1:14" x14ac:dyDescent="0.2">
      <c r="C2" s="305" t="s">
        <v>238</v>
      </c>
      <c r="D2" s="305"/>
      <c r="E2" s="459">
        <f>'Retained #10 Sieve'!H17</f>
        <v>51.300000000000068</v>
      </c>
      <c r="F2" s="460"/>
      <c r="G2" s="459">
        <f>'Passing #10 Sieve'!I4</f>
        <v>48.1</v>
      </c>
      <c r="H2" s="460"/>
      <c r="I2" s="459">
        <f>G2-K2</f>
        <v>5.8000000000000469</v>
      </c>
      <c r="J2" s="460"/>
      <c r="K2" s="459">
        <f>'Passing #10 Sieve'!E41</f>
        <v>42.299999999999955</v>
      </c>
      <c r="L2" s="464"/>
      <c r="M2" s="467"/>
      <c r="N2" s="468"/>
    </row>
    <row r="3" spans="1:14" ht="13.5" thickBot="1" x14ac:dyDescent="0.25">
      <c r="C3" s="305" t="s">
        <v>240</v>
      </c>
      <c r="D3" s="305"/>
      <c r="E3" s="455">
        <f>E2/E2</f>
        <v>1</v>
      </c>
      <c r="F3" s="456"/>
      <c r="G3" s="455">
        <f>G2/E2</f>
        <v>0.93762183235867325</v>
      </c>
      <c r="H3" s="456"/>
      <c r="I3" s="455">
        <f>I2/E2</f>
        <v>0.11306042884990329</v>
      </c>
      <c r="J3" s="456"/>
      <c r="K3" s="455">
        <f>K2/E2</f>
        <v>0.82456140350876994</v>
      </c>
      <c r="L3" s="458"/>
      <c r="M3" s="469"/>
      <c r="N3" s="470"/>
    </row>
    <row r="4" spans="1:14" ht="38.25" x14ac:dyDescent="0.2">
      <c r="A4" s="382" t="s">
        <v>148</v>
      </c>
      <c r="B4" s="383"/>
      <c r="C4" s="306" t="s">
        <v>34</v>
      </c>
      <c r="D4" s="306" t="s">
        <v>35</v>
      </c>
      <c r="E4" s="292" t="s">
        <v>135</v>
      </c>
      <c r="F4" s="294" t="s">
        <v>239</v>
      </c>
      <c r="G4" s="292" t="s">
        <v>135</v>
      </c>
      <c r="H4" s="294" t="s">
        <v>239</v>
      </c>
      <c r="I4" s="292" t="s">
        <v>135</v>
      </c>
      <c r="J4" s="294" t="s">
        <v>239</v>
      </c>
      <c r="K4" s="292" t="s">
        <v>135</v>
      </c>
      <c r="L4" s="335" t="s">
        <v>239</v>
      </c>
      <c r="M4" s="332" t="s">
        <v>135</v>
      </c>
      <c r="N4" s="332" t="s">
        <v>136</v>
      </c>
    </row>
    <row r="5" spans="1:14" x14ac:dyDescent="0.2">
      <c r="A5" s="384"/>
      <c r="B5" s="385"/>
      <c r="C5" s="302">
        <f>'Retained #10 Sieve'!A7</f>
        <v>0</v>
      </c>
      <c r="D5" s="302">
        <f>IFERROR(VLOOKUP(C5,'Retained #10 Sieve'!$O$4:$P$49,2,FALSE),C5)</f>
        <v>0</v>
      </c>
      <c r="E5" s="300">
        <f>'Retained #10 Sieve'!J7</f>
        <v>0</v>
      </c>
      <c r="F5" s="329">
        <f t="shared" ref="F5:F13" si="0">E5*$E$2</f>
        <v>0</v>
      </c>
      <c r="G5" s="49"/>
      <c r="H5" s="297"/>
      <c r="I5" s="49"/>
      <c r="J5" s="297"/>
      <c r="K5" s="49"/>
      <c r="L5" s="50"/>
      <c r="M5" s="333">
        <f t="shared" ref="M5:M12" si="1">E5*$E$3</f>
        <v>0</v>
      </c>
      <c r="N5" s="333">
        <f>1-M5</f>
        <v>1</v>
      </c>
    </row>
    <row r="6" spans="1:14" x14ac:dyDescent="0.2">
      <c r="A6" s="384"/>
      <c r="B6" s="385"/>
      <c r="C6" s="302">
        <f>'Retained #10 Sieve'!A8</f>
        <v>0</v>
      </c>
      <c r="D6" s="302">
        <f>IFERROR(VLOOKUP(C6,'Retained #10 Sieve'!$O$4:$P$49,2,FALSE),C6)</f>
        <v>0</v>
      </c>
      <c r="E6" s="300">
        <f>'Retained #10 Sieve'!J8</f>
        <v>0</v>
      </c>
      <c r="F6" s="329">
        <f t="shared" si="0"/>
        <v>0</v>
      </c>
      <c r="G6" s="49"/>
      <c r="H6" s="297"/>
      <c r="I6" s="49"/>
      <c r="J6" s="297"/>
      <c r="K6" s="49"/>
      <c r="L6" s="50"/>
      <c r="M6" s="333">
        <f t="shared" si="1"/>
        <v>0</v>
      </c>
      <c r="N6" s="333">
        <f t="shared" ref="N6:N25" si="2">1-M6</f>
        <v>1</v>
      </c>
    </row>
    <row r="7" spans="1:14" x14ac:dyDescent="0.2">
      <c r="A7" s="384"/>
      <c r="B7" s="385"/>
      <c r="C7" s="302">
        <f>'Retained #10 Sieve'!A9</f>
        <v>0</v>
      </c>
      <c r="D7" s="302">
        <f>IFERROR(VLOOKUP(C7,'Retained #10 Sieve'!$O$4:$P$49,2,FALSE),C7)</f>
        <v>0</v>
      </c>
      <c r="E7" s="300">
        <f>'Retained #10 Sieve'!J9</f>
        <v>0</v>
      </c>
      <c r="F7" s="329">
        <f t="shared" si="0"/>
        <v>0</v>
      </c>
      <c r="G7" s="49"/>
      <c r="H7" s="297"/>
      <c r="I7" s="49"/>
      <c r="J7" s="297"/>
      <c r="K7" s="49"/>
      <c r="L7" s="50"/>
      <c r="M7" s="333">
        <f t="shared" si="1"/>
        <v>0</v>
      </c>
      <c r="N7" s="333">
        <f t="shared" si="2"/>
        <v>1</v>
      </c>
    </row>
    <row r="8" spans="1:14" x14ac:dyDescent="0.2">
      <c r="A8" s="384"/>
      <c r="B8" s="385"/>
      <c r="C8" s="302">
        <f>'Retained #10 Sieve'!A10</f>
        <v>0</v>
      </c>
      <c r="D8" s="302">
        <f>IFERROR(VLOOKUP(C8,'Retained #10 Sieve'!$O$4:$P$49,2,FALSE),C8)</f>
        <v>0</v>
      </c>
      <c r="E8" s="300">
        <f>'Retained #10 Sieve'!J10</f>
        <v>0</v>
      </c>
      <c r="F8" s="329">
        <f t="shared" si="0"/>
        <v>0</v>
      </c>
      <c r="G8" s="49"/>
      <c r="H8" s="297"/>
      <c r="I8" s="49"/>
      <c r="J8" s="297"/>
      <c r="K8" s="49"/>
      <c r="L8" s="50"/>
      <c r="M8" s="333">
        <f t="shared" si="1"/>
        <v>0</v>
      </c>
      <c r="N8" s="333">
        <f t="shared" si="2"/>
        <v>1</v>
      </c>
    </row>
    <row r="9" spans="1:14" x14ac:dyDescent="0.2">
      <c r="A9" s="384"/>
      <c r="B9" s="385"/>
      <c r="C9" s="302">
        <f>'Retained #10 Sieve'!A11</f>
        <v>0</v>
      </c>
      <c r="D9" s="302">
        <f>IFERROR(VLOOKUP(C9,'Retained #10 Sieve'!$O$4:$P$49,2,FALSE),C9)</f>
        <v>0</v>
      </c>
      <c r="E9" s="300">
        <f>'Retained #10 Sieve'!J11</f>
        <v>0</v>
      </c>
      <c r="F9" s="329">
        <f t="shared" si="0"/>
        <v>0</v>
      </c>
      <c r="G9" s="49"/>
      <c r="H9" s="297"/>
      <c r="I9" s="49"/>
      <c r="J9" s="297"/>
      <c r="K9" s="49"/>
      <c r="L9" s="50"/>
      <c r="M9" s="333">
        <f t="shared" si="1"/>
        <v>0</v>
      </c>
      <c r="N9" s="333">
        <f t="shared" si="2"/>
        <v>1</v>
      </c>
    </row>
    <row r="10" spans="1:14" x14ac:dyDescent="0.2">
      <c r="A10" s="384"/>
      <c r="B10" s="385"/>
      <c r="C10" s="302">
        <f>'Retained #10 Sieve'!A12</f>
        <v>0</v>
      </c>
      <c r="D10" s="302">
        <f>IFERROR(VLOOKUP(C10,'Retained #10 Sieve'!$O$4:$P$49,2,FALSE),C10)</f>
        <v>0</v>
      </c>
      <c r="E10" s="300">
        <f>'Retained #10 Sieve'!J12</f>
        <v>0</v>
      </c>
      <c r="F10" s="329">
        <f t="shared" si="0"/>
        <v>0</v>
      </c>
      <c r="G10" s="49"/>
      <c r="H10" s="297"/>
      <c r="I10" s="49"/>
      <c r="J10" s="297"/>
      <c r="K10" s="49"/>
      <c r="L10" s="50"/>
      <c r="M10" s="333">
        <f t="shared" si="1"/>
        <v>0</v>
      </c>
      <c r="N10" s="333">
        <f t="shared" si="2"/>
        <v>1</v>
      </c>
    </row>
    <row r="11" spans="1:14" x14ac:dyDescent="0.2">
      <c r="A11" s="384"/>
      <c r="B11" s="385"/>
      <c r="C11" s="302" t="str">
        <f>'Retained #10 Sieve'!A13</f>
        <v>No. 4</v>
      </c>
      <c r="D11" s="302">
        <f>IFERROR(VLOOKUP(C11,'Retained #10 Sieve'!$O$4:$P$49,2,FALSE),C11)</f>
        <v>4.76</v>
      </c>
      <c r="E11" s="300">
        <f>'Retained #10 Sieve'!J13</f>
        <v>9.7465886939571023E-3</v>
      </c>
      <c r="F11" s="329">
        <f t="shared" si="0"/>
        <v>0.5</v>
      </c>
      <c r="G11" s="49"/>
      <c r="H11" s="297"/>
      <c r="I11" s="49"/>
      <c r="J11" s="297"/>
      <c r="K11" s="49"/>
      <c r="L11" s="50"/>
      <c r="M11" s="333">
        <f t="shared" si="1"/>
        <v>9.7465886939571023E-3</v>
      </c>
      <c r="N11" s="333">
        <f>1-M11</f>
        <v>0.99025341130604294</v>
      </c>
    </row>
    <row r="12" spans="1:14" x14ac:dyDescent="0.2">
      <c r="A12" s="384"/>
      <c r="B12" s="385"/>
      <c r="C12" s="302" t="str">
        <f>'Retained #10 Sieve'!A14</f>
        <v>No. 8</v>
      </c>
      <c r="D12" s="302">
        <f>IFERROR(VLOOKUP(C12,'Retained #10 Sieve'!$O$4:$P$49,2,FALSE),C12)</f>
        <v>2.38</v>
      </c>
      <c r="E12" s="300">
        <f>'Retained #10 Sieve'!J14</f>
        <v>4.0935672514620269E-2</v>
      </c>
      <c r="F12" s="329">
        <f t="shared" si="0"/>
        <v>2.1000000000000227</v>
      </c>
      <c r="G12" s="49"/>
      <c r="H12" s="297"/>
      <c r="I12" s="49"/>
      <c r="J12" s="297"/>
      <c r="K12" s="49"/>
      <c r="L12" s="50"/>
      <c r="M12" s="333">
        <f t="shared" si="1"/>
        <v>4.0935672514620269E-2</v>
      </c>
      <c r="N12" s="333">
        <f t="shared" si="2"/>
        <v>0.95906432748537973</v>
      </c>
    </row>
    <row r="13" spans="1:14" ht="13.5" thickBot="1" x14ac:dyDescent="0.25">
      <c r="A13" s="386"/>
      <c r="B13" s="387"/>
      <c r="C13" s="307" t="str">
        <f>'Retained #10 Sieve'!A15</f>
        <v>No. 10</v>
      </c>
      <c r="D13" s="307">
        <f>IFERROR(VLOOKUP(C13,'Retained #10 Sieve'!$O$4:$P$49,2,FALSE),C13)</f>
        <v>2</v>
      </c>
      <c r="E13" s="311">
        <f>'Retained #10 Sieve'!J15</f>
        <v>6.2378167641326338E-2</v>
      </c>
      <c r="F13" s="330">
        <f t="shared" si="0"/>
        <v>3.2000000000000455</v>
      </c>
      <c r="G13" s="299"/>
      <c r="H13" s="331"/>
      <c r="I13" s="299"/>
      <c r="J13" s="331"/>
      <c r="K13" s="299"/>
      <c r="L13" s="51"/>
      <c r="M13" s="334">
        <f>E13*$E$3</f>
        <v>6.2378167641326338E-2</v>
      </c>
      <c r="N13" s="334">
        <f t="shared" si="2"/>
        <v>0.93762183235867369</v>
      </c>
    </row>
    <row r="14" spans="1:14" ht="15" customHeight="1" x14ac:dyDescent="0.2">
      <c r="A14" s="457" t="s">
        <v>149</v>
      </c>
      <c r="B14" s="389" t="s">
        <v>165</v>
      </c>
      <c r="C14" s="322" t="str">
        <f>'Passing #10 Sieve'!A32</f>
        <v>No. 30</v>
      </c>
      <c r="D14" s="322">
        <f>IFERROR(VLOOKUP(C14,'Retained #10 Sieve'!$O$4:$P$49,2,FALSE),C14)</f>
        <v>0.59499999999999997</v>
      </c>
      <c r="E14" s="323"/>
      <c r="F14" s="324"/>
      <c r="G14" s="325"/>
      <c r="H14" s="326"/>
      <c r="I14" s="327"/>
      <c r="J14" s="326"/>
      <c r="K14" s="327">
        <f>'Passing #10 Sieve'!G32</f>
        <v>0.3522458628841606</v>
      </c>
      <c r="L14" s="328">
        <f>K14*$K$2</f>
        <v>14.899999999999977</v>
      </c>
      <c r="M14" s="226">
        <f>K14*$K$3</f>
        <v>0.29044834307992118</v>
      </c>
      <c r="N14" s="226">
        <f t="shared" si="2"/>
        <v>0.70955165692007882</v>
      </c>
    </row>
    <row r="15" spans="1:14" ht="15" customHeight="1" x14ac:dyDescent="0.2">
      <c r="A15" s="384"/>
      <c r="B15" s="389"/>
      <c r="C15" s="302" t="str">
        <f>'Passing #10 Sieve'!A33</f>
        <v>No. 60</v>
      </c>
      <c r="D15" s="302">
        <f>IFERROR(VLOOKUP(C15,'Retained #10 Sieve'!$O$4:$P$49,2,FALSE),C15)</f>
        <v>0.25</v>
      </c>
      <c r="E15" s="49"/>
      <c r="F15" s="50"/>
      <c r="G15" s="301"/>
      <c r="H15" s="314"/>
      <c r="I15" s="300"/>
      <c r="J15" s="314"/>
      <c r="K15" s="300">
        <f>'Passing #10 Sieve'!G33</f>
        <v>0.74468085106383053</v>
      </c>
      <c r="L15" s="310">
        <f>K15*$K$2</f>
        <v>31.499999999999996</v>
      </c>
      <c r="M15" s="298">
        <f>K15*$K$3</f>
        <v>0.61403508771929738</v>
      </c>
      <c r="N15" s="298">
        <f>1-M15</f>
        <v>0.38596491228070262</v>
      </c>
    </row>
    <row r="16" spans="1:14" ht="15" customHeight="1" x14ac:dyDescent="0.2">
      <c r="A16" s="384"/>
      <c r="B16" s="389"/>
      <c r="C16" s="302" t="str">
        <f>'Passing #10 Sieve'!A34</f>
        <v>No. 80</v>
      </c>
      <c r="D16" s="302">
        <f>IFERROR(VLOOKUP(C16,'Retained #10 Sieve'!$O$4:$P$49,2,FALSE),C16)</f>
        <v>0.17699999999999999</v>
      </c>
      <c r="E16" s="49"/>
      <c r="F16" s="50"/>
      <c r="G16" s="301"/>
      <c r="H16" s="314"/>
      <c r="I16" s="300"/>
      <c r="J16" s="314"/>
      <c r="K16" s="300">
        <f>'Passing #10 Sieve'!G34</f>
        <v>0.83687943262411379</v>
      </c>
      <c r="L16" s="310">
        <f>K16*$K$2</f>
        <v>35.399999999999977</v>
      </c>
      <c r="M16" s="298">
        <f>K16*$K$3</f>
        <v>0.69005847953216237</v>
      </c>
      <c r="N16" s="298">
        <f t="shared" si="2"/>
        <v>0.30994152046783763</v>
      </c>
    </row>
    <row r="17" spans="1:14" ht="15" customHeight="1" x14ac:dyDescent="0.2">
      <c r="A17" s="384"/>
      <c r="B17" s="389"/>
      <c r="C17" s="302" t="str">
        <f>'Passing #10 Sieve'!A35</f>
        <v>No. 100</v>
      </c>
      <c r="D17" s="302">
        <f>IFERROR(VLOOKUP(C17,'Retained #10 Sieve'!$O$4:$P$49,2,FALSE),C17)</f>
        <v>0.14899999999999999</v>
      </c>
      <c r="E17" s="49"/>
      <c r="F17" s="50"/>
      <c r="G17" s="301"/>
      <c r="H17" s="314"/>
      <c r="I17" s="300"/>
      <c r="J17" s="314"/>
      <c r="K17" s="300">
        <f>'Passing #10 Sieve'!G35</f>
        <v>0.86288416075650209</v>
      </c>
      <c r="L17" s="310">
        <f>K17*$K$2</f>
        <v>36.5</v>
      </c>
      <c r="M17" s="298">
        <f>K17*$K$3</f>
        <v>0.71150097465886841</v>
      </c>
      <c r="N17" s="298">
        <f t="shared" si="2"/>
        <v>0.28849902534113159</v>
      </c>
    </row>
    <row r="18" spans="1:14" ht="15" customHeight="1" x14ac:dyDescent="0.2">
      <c r="A18" s="384"/>
      <c r="B18" s="390"/>
      <c r="C18" s="302" t="str">
        <f>'Passing #10 Sieve'!A36</f>
        <v>No. 200</v>
      </c>
      <c r="D18" s="302">
        <f>IFERROR(VLOOKUP(C18,'Retained #10 Sieve'!$O$4:$P$49,2,FALSE),C18)</f>
        <v>7.3999999999999996E-2</v>
      </c>
      <c r="E18" s="49"/>
      <c r="F18" s="50"/>
      <c r="G18" s="301"/>
      <c r="H18" s="314"/>
      <c r="I18" s="300">
        <f>K2/G2</f>
        <v>0.87941787941787841</v>
      </c>
      <c r="J18" s="310">
        <f>I2</f>
        <v>5.8000000000000469</v>
      </c>
      <c r="K18" s="300">
        <f>'Passing #10 Sieve'!G36</f>
        <v>0.99763593380614735</v>
      </c>
      <c r="L18" s="310">
        <f>K18*$K$2</f>
        <v>42.199999999999989</v>
      </c>
      <c r="M18" s="298">
        <f>1-N18</f>
        <v>0.88499025341130599</v>
      </c>
      <c r="N18" s="298">
        <f>(J18+(K2-L18))/E2</f>
        <v>0.11500974658869405</v>
      </c>
    </row>
    <row r="19" spans="1:14" ht="15" customHeight="1" x14ac:dyDescent="0.2">
      <c r="A19" s="384"/>
      <c r="B19" s="385" t="s">
        <v>131</v>
      </c>
      <c r="C19" s="308">
        <f>'Passing #10 Sieve'!L20</f>
        <v>3.235416758317234E-2</v>
      </c>
      <c r="D19" s="308">
        <f>IFERROR(VLOOKUP(C19,'Retained #10 Sieve'!$O$4:$P$49,2,FALSE),C19)</f>
        <v>3.235416758317234E-2</v>
      </c>
      <c r="E19" s="134"/>
      <c r="F19" s="320"/>
      <c r="G19" s="303">
        <f>'Passing #10 Sieve'!I20</f>
        <v>0.57997289636426053</v>
      </c>
      <c r="H19" s="316">
        <f>G19*$G$2</f>
        <v>27.896696315120931</v>
      </c>
      <c r="I19" s="315"/>
      <c r="J19" s="316"/>
      <c r="K19" s="134"/>
      <c r="L19" s="312"/>
      <c r="M19" s="238">
        <f>G19*$G$3</f>
        <v>0.54379524980742489</v>
      </c>
      <c r="N19" s="238">
        <f t="shared" si="2"/>
        <v>0.45620475019257511</v>
      </c>
    </row>
    <row r="20" spans="1:14" ht="15" customHeight="1" x14ac:dyDescent="0.2">
      <c r="A20" s="384"/>
      <c r="B20" s="385"/>
      <c r="C20" s="308">
        <f>'Passing #10 Sieve'!L21</f>
        <v>2.072105711589059E-2</v>
      </c>
      <c r="D20" s="308">
        <f>IFERROR(VLOOKUP(C20,'Retained #10 Sieve'!$O$4:$P$49,2,FALSE),C20)</f>
        <v>2.072105711589059E-2</v>
      </c>
      <c r="E20" s="134"/>
      <c r="F20" s="320"/>
      <c r="G20" s="303">
        <f>'Passing #10 Sieve'!I21</f>
        <v>0.61345331766855526</v>
      </c>
      <c r="H20" s="316">
        <f t="shared" ref="H20:H25" si="3">G20*$G$2</f>
        <v>29.507104579857508</v>
      </c>
      <c r="I20" s="318"/>
      <c r="J20" s="316"/>
      <c r="K20" s="134"/>
      <c r="L20" s="312"/>
      <c r="M20" s="238">
        <f t="shared" ref="M20:M25" si="4">G20*$G$3</f>
        <v>0.57518722377889808</v>
      </c>
      <c r="N20" s="238">
        <f t="shared" si="2"/>
        <v>0.42481277622110192</v>
      </c>
    </row>
    <row r="21" spans="1:14" ht="15" customHeight="1" x14ac:dyDescent="0.2">
      <c r="A21" s="384"/>
      <c r="B21" s="385"/>
      <c r="C21" s="308">
        <f>'Passing #10 Sieve'!L22</f>
        <v>1.206177300399904E-2</v>
      </c>
      <c r="D21" s="308">
        <f>IFERROR(VLOOKUP(C21,'Retained #10 Sieve'!$O$4:$P$49,2,FALSE),C21)</f>
        <v>1.206177300399904E-2</v>
      </c>
      <c r="E21" s="134"/>
      <c r="F21" s="320"/>
      <c r="G21" s="303">
        <f>'Passing #10 Sieve'!I22</f>
        <v>0.63019352832070252</v>
      </c>
      <c r="H21" s="316">
        <f t="shared" si="3"/>
        <v>30.312308712225793</v>
      </c>
      <c r="I21" s="318"/>
      <c r="J21" s="316"/>
      <c r="K21" s="134"/>
      <c r="L21" s="312"/>
      <c r="M21" s="238">
        <f t="shared" si="4"/>
        <v>0.59088321076463457</v>
      </c>
      <c r="N21" s="238">
        <f t="shared" si="2"/>
        <v>0.40911678923536543</v>
      </c>
    </row>
    <row r="22" spans="1:14" ht="15" customHeight="1" x14ac:dyDescent="0.2">
      <c r="A22" s="384"/>
      <c r="B22" s="385"/>
      <c r="C22" s="308">
        <f>'Passing #10 Sieve'!L23</f>
        <v>8.6323466102792689E-3</v>
      </c>
      <c r="D22" s="308">
        <f>IFERROR(VLOOKUP(C22,'Retained #10 Sieve'!$O$4:$P$49,2,FALSE),C22)</f>
        <v>8.6323466102792689E-3</v>
      </c>
      <c r="E22" s="134"/>
      <c r="F22" s="320"/>
      <c r="G22" s="303">
        <f>'Passing #10 Sieve'!I23</f>
        <v>0.66367394962500481</v>
      </c>
      <c r="H22" s="316">
        <f t="shared" si="3"/>
        <v>31.922716976962732</v>
      </c>
      <c r="I22" s="318"/>
      <c r="J22" s="316"/>
      <c r="K22" s="134"/>
      <c r="L22" s="312"/>
      <c r="M22" s="238">
        <f t="shared" si="4"/>
        <v>0.62227518473611476</v>
      </c>
      <c r="N22" s="238">
        <f t="shared" si="2"/>
        <v>0.37772481526388524</v>
      </c>
    </row>
    <row r="23" spans="1:14" ht="15" customHeight="1" x14ac:dyDescent="0.2">
      <c r="A23" s="384"/>
      <c r="B23" s="385"/>
      <c r="C23" s="308">
        <f>'Passing #10 Sieve'!L24</f>
        <v>6.1762299180001387E-3</v>
      </c>
      <c r="D23" s="308">
        <f>IFERROR(VLOOKUP(C23,'Retained #10 Sieve'!$O$4:$P$49,2,FALSE),C23)</f>
        <v>6.1762299180001387E-3</v>
      </c>
      <c r="E23" s="134"/>
      <c r="F23" s="320"/>
      <c r="G23" s="303">
        <f>'Passing #10 Sieve'!I24</f>
        <v>0.69715437092929955</v>
      </c>
      <c r="H23" s="316">
        <f t="shared" si="3"/>
        <v>33.53312524169931</v>
      </c>
      <c r="I23" s="318"/>
      <c r="J23" s="316"/>
      <c r="K23" s="134"/>
      <c r="L23" s="312"/>
      <c r="M23" s="238">
        <f t="shared" si="4"/>
        <v>0.65366715870758796</v>
      </c>
      <c r="N23" s="238">
        <f t="shared" si="2"/>
        <v>0.34633284129241204</v>
      </c>
    </row>
    <row r="24" spans="1:14" ht="15" customHeight="1" x14ac:dyDescent="0.2">
      <c r="A24" s="384"/>
      <c r="B24" s="385"/>
      <c r="C24" s="308">
        <f>'Passing #10 Sieve'!L25</f>
        <v>3.0257223666423859E-3</v>
      </c>
      <c r="D24" s="308">
        <f>IFERROR(VLOOKUP(C24,'Retained #10 Sieve'!$O$4:$P$49,2,FALSE),C24)</f>
        <v>3.0257223666423859E-3</v>
      </c>
      <c r="E24" s="134"/>
      <c r="F24" s="320"/>
      <c r="G24" s="303">
        <f>'Passing #10 Sieve'!I25</f>
        <v>0.71221248398164194</v>
      </c>
      <c r="H24" s="316">
        <f t="shared" si="3"/>
        <v>34.257420479516981</v>
      </c>
      <c r="I24" s="318"/>
      <c r="J24" s="316"/>
      <c r="K24" s="134"/>
      <c r="L24" s="312"/>
      <c r="M24" s="238">
        <f t="shared" si="4"/>
        <v>0.6677859742595893</v>
      </c>
      <c r="N24" s="238">
        <f t="shared" si="2"/>
        <v>0.3322140257404107</v>
      </c>
    </row>
    <row r="25" spans="1:14" ht="15" customHeight="1" thickBot="1" x14ac:dyDescent="0.25">
      <c r="A25" s="386"/>
      <c r="B25" s="387"/>
      <c r="C25" s="309">
        <f>'Passing #10 Sieve'!L26</f>
        <v>1.2857137663138281E-3</v>
      </c>
      <c r="D25" s="309">
        <f>IFERROR(VLOOKUP(C25,'Retained #10 Sieve'!$O$4:$P$49,2,FALSE),C25)</f>
        <v>1.2857137663138281E-3</v>
      </c>
      <c r="E25" s="135"/>
      <c r="F25" s="321"/>
      <c r="G25" s="304">
        <f>'Passing #10 Sieve'!I26</f>
        <v>0.73770288802703643</v>
      </c>
      <c r="H25" s="317">
        <f t="shared" si="3"/>
        <v>35.483508914100454</v>
      </c>
      <c r="I25" s="319"/>
      <c r="J25" s="317"/>
      <c r="K25" s="135"/>
      <c r="L25" s="313"/>
      <c r="M25" s="239">
        <f t="shared" si="4"/>
        <v>0.69168633360819509</v>
      </c>
      <c r="N25" s="239">
        <f t="shared" si="2"/>
        <v>0.30831366639180491</v>
      </c>
    </row>
    <row r="30" spans="1:14" x14ac:dyDescent="0.2">
      <c r="J30" s="336"/>
    </row>
  </sheetData>
  <mergeCells count="17">
    <mergeCell ref="M1:N3"/>
    <mergeCell ref="I3:J3"/>
    <mergeCell ref="K3:L3"/>
    <mergeCell ref="G1:H1"/>
    <mergeCell ref="G2:H2"/>
    <mergeCell ref="K1:L1"/>
    <mergeCell ref="K2:L2"/>
    <mergeCell ref="I1:J1"/>
    <mergeCell ref="I2:J2"/>
    <mergeCell ref="A4:B13"/>
    <mergeCell ref="A14:A25"/>
    <mergeCell ref="B14:B18"/>
    <mergeCell ref="B19:B25"/>
    <mergeCell ref="G3:H3"/>
    <mergeCell ref="E1:F1"/>
    <mergeCell ref="E2:F2"/>
    <mergeCell ref="E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Concentration</vt:lpstr>
      <vt:lpstr>Retained #10 Sieve</vt:lpstr>
      <vt:lpstr>Passing #10 Sieve</vt:lpstr>
      <vt:lpstr>TOTALS</vt:lpstr>
      <vt:lpstr>PRINT</vt:lpstr>
      <vt:lpstr>RESULTS</vt:lpstr>
      <vt:lpstr>G</vt:lpstr>
      <vt:lpstr>Gone</vt:lpstr>
      <vt:lpstr>K</vt:lpstr>
      <vt:lpstr>L</vt:lpstr>
      <vt:lpstr>P</vt:lpstr>
      <vt:lpstr>'Passing #10 Sieve'!Print_Area</vt:lpstr>
      <vt:lpstr>PRINT!Print_Area</vt:lpstr>
      <vt:lpstr>'Retained #10 Sieve'!Print_Area</vt:lpstr>
      <vt:lpstr>TOTALS!Print_Area</vt:lpstr>
      <vt:lpstr>R_</vt:lpstr>
      <vt:lpstr>T</vt:lpstr>
      <vt:lpstr>'Passing #10 Sieve'!W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Adkins</dc:creator>
  <cp:lastModifiedBy>Steven Reed</cp:lastModifiedBy>
  <cp:lastPrinted>2019-11-08T00:38:28Z</cp:lastPrinted>
  <dcterms:created xsi:type="dcterms:W3CDTF">2007-09-13T16:01:20Z</dcterms:created>
  <dcterms:modified xsi:type="dcterms:W3CDTF">2019-11-08T00:44:07Z</dcterms:modified>
</cp:coreProperties>
</file>