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0" yWindow="0" windowWidth="20400" windowHeight="7755" tabRatio="939"/>
  </bookViews>
  <sheets>
    <sheet name="Summary" sheetId="3" r:id="rId1"/>
    <sheet name="Current Account" sheetId="10" r:id="rId2"/>
    <sheet name="Expenditure" sheetId="1" r:id="rId3"/>
    <sheet name="Income" sheetId="4" r:id="rId4"/>
    <sheet name="Petty Cash" sheetId="6" r:id="rId5"/>
  </sheets>
  <definedNames>
    <definedName name="_xlnm._FilterDatabase" localSheetId="1" hidden="1">'Current Account'!$A$3:$F$69</definedName>
    <definedName name="Audit">Expenditure!$S$6</definedName>
    <definedName name="CurrentAccountBalance">'Current Account'!$F$71</definedName>
    <definedName name="Expend1">Expenditure!$K$6</definedName>
    <definedName name="Expend10">Expenditure!$T$6</definedName>
    <definedName name="Expend11">Expenditure!$U$6</definedName>
    <definedName name="Expend12">Expenditure!$V$6</definedName>
    <definedName name="Expend13">Expenditure!$W$6</definedName>
    <definedName name="Expend2">Expenditure!$L$6</definedName>
    <definedName name="Expend3">Expenditure!$M$6</definedName>
    <definedName name="Expend4">Expenditure!$N$6</definedName>
    <definedName name="Expend5">Expenditure!$O$6</definedName>
    <definedName name="Expend6">Expenditure!$P$6</definedName>
    <definedName name="Expend7">Expenditure!$Q$6</definedName>
    <definedName name="Expend8">Expenditure!$R$6</definedName>
    <definedName name="Expend9">Expenditure!$S$6</definedName>
    <definedName name="ExpendLbl1">Expenditure!$K$5</definedName>
    <definedName name="ExpendLbl10">Expenditure!$T$5</definedName>
    <definedName name="ExpendLbl11">Expenditure!$U$5</definedName>
    <definedName name="ExpendLbl12">Expenditure!$V$5</definedName>
    <definedName name="ExpendLbl13">Expenditure!$W$5</definedName>
    <definedName name="ExpendLbl2">Expenditure!$L$5</definedName>
    <definedName name="ExpendLbl3">Expenditure!$M$5</definedName>
    <definedName name="ExpendLbl4">Expenditure!$N$5</definedName>
    <definedName name="ExpendLbl5">Expenditure!$O$5</definedName>
    <definedName name="ExpendLbl6">Expenditure!$P$5</definedName>
    <definedName name="ExpendLbl7">Expenditure!$Q$5</definedName>
    <definedName name="ExpendLbl8">Expenditure!$R$5</definedName>
    <definedName name="ExpendLbl9">Expenditure!$S$5</definedName>
    <definedName name="GraveleyChurch">Expenditure!$W$6</definedName>
    <definedName name="IncColumn1">Income!$N$5</definedName>
    <definedName name="IncColumn2">Income!$O$5</definedName>
    <definedName name="IncColumn3">Income!$P$5</definedName>
    <definedName name="IncColumn4">Income!$Q$5</definedName>
    <definedName name="IncDeposits">Income!$O$5</definedName>
    <definedName name="IncLbl1">Income!$N$4</definedName>
    <definedName name="IncLbl2">Income!$O$4</definedName>
    <definedName name="IncLbl3">Income!$P$4</definedName>
    <definedName name="IncLbl4">Income!$Q$4</definedName>
    <definedName name="Insurance">Expenditure!$M$6</definedName>
    <definedName name="Interest">Income!$O$5</definedName>
    <definedName name="LandRent">Expenditure!$P$6</definedName>
    <definedName name="Legal">Expenditure!$R$6</definedName>
    <definedName name="Maintenance">Expenditure!$N$6</definedName>
    <definedName name="Miscellaneous">Expenditure!$O$6</definedName>
    <definedName name="Office">'Petty Cash'!$O$6</definedName>
    <definedName name="OpenCurrent">Summary!$H$7</definedName>
    <definedName name="OpenPetty">Summary!$H$8</definedName>
    <definedName name="PettyCashExpend">'Petty Cash'!$V$6</definedName>
    <definedName name="PettyColumn1">'Petty Cash'!$M$6</definedName>
    <definedName name="PettyColumn2">'Petty Cash'!$N$6</definedName>
    <definedName name="PettyColumn3">'Petty Cash'!$O$6</definedName>
    <definedName name="PettyColumn4">'Petty Cash'!$P$6</definedName>
    <definedName name="PettyColumn5">'Petty Cash'!$Q$6</definedName>
    <definedName name="PettyLbl1">'Petty Cash'!$M$5</definedName>
    <definedName name="PettyLbl2">'Petty Cash'!$N$5</definedName>
    <definedName name="PettyLbl3">'Petty Cash'!$O$5</definedName>
    <definedName name="PettyLbl4">'Petty Cash'!$P$5</definedName>
    <definedName name="PettyLbl5">'Petty Cash'!$Q$5</definedName>
    <definedName name="Planning">Expenditure!$T$6</definedName>
    <definedName name="Postage">'Petty Cash'!$M$6</definedName>
    <definedName name="Precept">Income!$N$5</definedName>
    <definedName name="_xlnm.Print_Area" localSheetId="1">'Current Account'!$A$1:$G$72</definedName>
    <definedName name="_xlnm.Print_Area" localSheetId="2">Expenditure!$A$1:$I$49</definedName>
    <definedName name="_xlnm.Print_Area" localSheetId="3">Income!$A$1:$J$47</definedName>
    <definedName name="_xlnm.Print_Area" localSheetId="4">'Petty Cash'!$A$1:$J$46</definedName>
    <definedName name="_xlnm.Print_Area" localSheetId="0">Summary!$A$1:$H$56</definedName>
    <definedName name="_xlnm.Print_Titles" localSheetId="2">Expenditure!$1:$5</definedName>
    <definedName name="Refunds">Income!$P$5</definedName>
    <definedName name="Rent">Income!$N$5</definedName>
    <definedName name="RoadSafety">Expenditure!$Q$6</definedName>
    <definedName name="Subscriptions">Expenditure!$L$6</definedName>
    <definedName name="Telephone">'Petty Cash'!$N$6</definedName>
    <definedName name="Training">Expenditure!$U$6</definedName>
    <definedName name="VillageHall">Expenditure!$V$6</definedName>
  </definedNames>
  <calcPr calcId="144525"/>
</workbook>
</file>

<file path=xl/calcChain.xml><?xml version="1.0" encoding="utf-8"?>
<calcChain xmlns="http://schemas.openxmlformats.org/spreadsheetml/2006/main">
  <c r="F6" i="6" l="1"/>
  <c r="D6" i="6"/>
  <c r="E4" i="10"/>
  <c r="AD5" i="4" l="1"/>
  <c r="AC5" i="4"/>
  <c r="AB5" i="4"/>
  <c r="AA5" i="4"/>
  <c r="Z5" i="4"/>
  <c r="Y5" i="4"/>
  <c r="AE6" i="1"/>
  <c r="AD6" i="1"/>
  <c r="AC6" i="1"/>
  <c r="AB6" i="1"/>
  <c r="F26" i="3"/>
  <c r="F25" i="3"/>
  <c r="F24" i="3"/>
  <c r="AE5" i="4" l="1"/>
  <c r="AH6" i="1"/>
  <c r="D45" i="1"/>
  <c r="P6" i="6"/>
  <c r="C35" i="3" l="1"/>
  <c r="C34" i="3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Q5" i="4"/>
  <c r="F35" i="3" s="1"/>
  <c r="C33" i="3"/>
  <c r="C32" i="3"/>
  <c r="O5" i="4"/>
  <c r="F33" i="3" s="1"/>
  <c r="D46" i="6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R6" i="1"/>
  <c r="F21" i="3" s="1"/>
  <c r="X48" i="1" l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Y6" i="1" l="1"/>
  <c r="U6" i="1"/>
  <c r="V6" i="1" l="1"/>
  <c r="E46" i="6"/>
  <c r="W6" i="1" l="1"/>
  <c r="T6" i="1"/>
  <c r="F23" i="3" s="1"/>
  <c r="S6" i="1"/>
  <c r="F22" i="3" s="1"/>
  <c r="P5" i="4" l="1"/>
  <c r="F34" i="3" s="1"/>
  <c r="N5" i="4"/>
  <c r="F32" i="3" s="1"/>
  <c r="Q6" i="1"/>
  <c r="F20" i="3" s="1"/>
  <c r="P6" i="1"/>
  <c r="F19" i="3" s="1"/>
  <c r="O6" i="1"/>
  <c r="F18" i="3" s="1"/>
  <c r="N6" i="1"/>
  <c r="F17" i="3" s="1"/>
  <c r="L6" i="1"/>
  <c r="F15" i="3" s="1"/>
  <c r="K6" i="1"/>
  <c r="F14" i="3" s="1"/>
  <c r="M6" i="1"/>
  <c r="F16" i="3" s="1"/>
  <c r="Q6" i="6"/>
  <c r="H26" i="3" l="1"/>
  <c r="V5" i="4"/>
  <c r="AG5" i="4" s="1"/>
  <c r="X6" i="1"/>
  <c r="J6" i="10"/>
  <c r="J13" i="10"/>
  <c r="J12" i="10"/>
  <c r="J11" i="10"/>
  <c r="J10" i="10"/>
  <c r="J9" i="10"/>
  <c r="J8" i="10"/>
  <c r="J7" i="10"/>
  <c r="O6" i="6"/>
  <c r="N6" i="6"/>
  <c r="M6" i="6"/>
  <c r="V6" i="6" l="1"/>
  <c r="K6" i="10"/>
  <c r="F27" i="3" l="1"/>
  <c r="H28" i="3" s="1"/>
  <c r="H41" i="3" s="1"/>
  <c r="D46" i="1"/>
  <c r="D49" i="1" s="1"/>
  <c r="K7" i="10"/>
  <c r="K8" i="10" l="1"/>
  <c r="K9" i="10" l="1"/>
  <c r="K10" i="10" l="1"/>
  <c r="F38" i="3"/>
  <c r="K11" i="10" l="1"/>
  <c r="K12" i="10" l="1"/>
  <c r="K13" i="10" l="1"/>
  <c r="K14" i="10" s="1"/>
  <c r="K15" i="10" l="1"/>
  <c r="K16" i="10" l="1"/>
  <c r="F36" i="3"/>
  <c r="F6" i="10"/>
  <c r="G49" i="1"/>
  <c r="F75" i="6"/>
  <c r="F7" i="6"/>
  <c r="F8" i="6" s="1"/>
  <c r="F9" i="6" s="1"/>
  <c r="F10" i="6" s="1"/>
  <c r="F11" i="6" s="1"/>
  <c r="F12" i="6" s="1"/>
  <c r="F13" i="6" s="1"/>
  <c r="F14" i="6" s="1"/>
  <c r="F15" i="6" s="1"/>
  <c r="F16" i="6" s="1"/>
  <c r="F17" i="6" s="1"/>
  <c r="F18" i="6" s="1"/>
  <c r="F19" i="6" s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78" i="4"/>
  <c r="D47" i="4"/>
  <c r="F49" i="1"/>
  <c r="E71" i="10"/>
  <c r="D71" i="10"/>
  <c r="K17" i="10" l="1"/>
  <c r="F7" i="10"/>
  <c r="F8" i="10" s="1"/>
  <c r="F9" i="10" s="1"/>
  <c r="F10" i="10" s="1"/>
  <c r="F11" i="10" s="1"/>
  <c r="F12" i="10" s="1"/>
  <c r="F13" i="10" s="1"/>
  <c r="F14" i="10" s="1"/>
  <c r="L6" i="10"/>
  <c r="F46" i="6"/>
  <c r="H48" i="3" s="1"/>
  <c r="F71" i="10"/>
  <c r="H38" i="3"/>
  <c r="F15" i="10" l="1"/>
  <c r="L14" i="10"/>
  <c r="J47" i="3"/>
  <c r="H42" i="3"/>
  <c r="H43" i="3" s="1"/>
  <c r="K18" i="10"/>
  <c r="H47" i="3"/>
  <c r="L7" i="10"/>
  <c r="F16" i="10" l="1"/>
  <c r="L15" i="10"/>
  <c r="K19" i="10"/>
  <c r="L8" i="10"/>
  <c r="F17" i="10" l="1"/>
  <c r="L16" i="10"/>
  <c r="K20" i="10"/>
  <c r="L9" i="10"/>
  <c r="F18" i="10" l="1"/>
  <c r="L17" i="10"/>
  <c r="K21" i="10"/>
  <c r="L10" i="10"/>
  <c r="F19" i="10" l="1"/>
  <c r="L18" i="10"/>
  <c r="K22" i="10"/>
  <c r="L11" i="10"/>
  <c r="F20" i="10" l="1"/>
  <c r="L19" i="10"/>
  <c r="K23" i="10"/>
  <c r="L12" i="10"/>
  <c r="F21" i="10" l="1"/>
  <c r="L20" i="10"/>
  <c r="K24" i="10"/>
  <c r="L13" i="10"/>
  <c r="F22" i="10" l="1"/>
  <c r="L21" i="10"/>
  <c r="K25" i="10"/>
  <c r="F23" i="10" l="1"/>
  <c r="L22" i="10"/>
  <c r="K26" i="10"/>
  <c r="F24" i="10" l="1"/>
  <c r="L23" i="10"/>
  <c r="K27" i="10"/>
  <c r="F25" i="10" l="1"/>
  <c r="L24" i="10"/>
  <c r="K28" i="10"/>
  <c r="F26" i="10" l="1"/>
  <c r="L25" i="10"/>
  <c r="K29" i="10"/>
  <c r="F27" i="10" l="1"/>
  <c r="L26" i="10"/>
  <c r="K30" i="10"/>
  <c r="F28" i="10" l="1"/>
  <c r="L27" i="10"/>
  <c r="K31" i="10"/>
  <c r="F29" i="10" l="1"/>
  <c r="L28" i="10"/>
  <c r="K32" i="10"/>
  <c r="F30" i="10" l="1"/>
  <c r="L29" i="10"/>
  <c r="K33" i="10"/>
  <c r="F31" i="10" l="1"/>
  <c r="L30" i="10"/>
  <c r="K34" i="10"/>
  <c r="F32" i="10" l="1"/>
  <c r="L31" i="10"/>
  <c r="K35" i="10"/>
  <c r="F33" i="10" l="1"/>
  <c r="L32" i="10"/>
  <c r="K36" i="10"/>
  <c r="F34" i="10" l="1"/>
  <c r="L33" i="10"/>
  <c r="K37" i="10"/>
  <c r="F35" i="10" l="1"/>
  <c r="L34" i="10"/>
  <c r="K38" i="10"/>
  <c r="F36" i="10" l="1"/>
  <c r="L35" i="10"/>
  <c r="K39" i="10"/>
  <c r="F37" i="10" l="1"/>
  <c r="L36" i="10"/>
  <c r="K40" i="10"/>
  <c r="F38" i="10" l="1"/>
  <c r="L37" i="10"/>
  <c r="K41" i="10"/>
  <c r="F39" i="10" l="1"/>
  <c r="L38" i="10"/>
  <c r="K42" i="10"/>
  <c r="F40" i="10" l="1"/>
  <c r="L39" i="10"/>
  <c r="K43" i="10"/>
  <c r="F41" i="10" l="1"/>
  <c r="L40" i="10"/>
  <c r="K44" i="10"/>
  <c r="F42" i="10" l="1"/>
  <c r="L41" i="10"/>
  <c r="K45" i="10"/>
  <c r="F43" i="10" l="1"/>
  <c r="L42" i="10"/>
  <c r="K46" i="10"/>
  <c r="F44" i="10" l="1"/>
  <c r="L43" i="10"/>
  <c r="K47" i="10"/>
  <c r="F45" i="10" l="1"/>
  <c r="L44" i="10"/>
  <c r="K48" i="10"/>
  <c r="F46" i="10" l="1"/>
  <c r="L45" i="10"/>
  <c r="K49" i="10"/>
  <c r="F47" i="10" l="1"/>
  <c r="L46" i="10"/>
  <c r="K50" i="10"/>
  <c r="F48" i="10" l="1"/>
  <c r="L47" i="10"/>
  <c r="K51" i="10"/>
  <c r="F49" i="10" l="1"/>
  <c r="L48" i="10"/>
  <c r="K52" i="10"/>
  <c r="F50" i="10" l="1"/>
  <c r="L49" i="10"/>
  <c r="K53" i="10"/>
  <c r="F51" i="10" l="1"/>
  <c r="L50" i="10"/>
  <c r="K54" i="10"/>
  <c r="F52" i="10" l="1"/>
  <c r="L51" i="10"/>
  <c r="K55" i="10"/>
  <c r="F53" i="10" l="1"/>
  <c r="L52" i="10"/>
  <c r="K56" i="10"/>
  <c r="F54" i="10" l="1"/>
  <c r="L53" i="10"/>
  <c r="K57" i="10"/>
  <c r="F55" i="10" l="1"/>
  <c r="L54" i="10"/>
  <c r="K58" i="10"/>
  <c r="F56" i="10" l="1"/>
  <c r="L55" i="10"/>
  <c r="K59" i="10"/>
  <c r="F57" i="10" l="1"/>
  <c r="L56" i="10"/>
  <c r="K60" i="10"/>
  <c r="F58" i="10" l="1"/>
  <c r="L57" i="10"/>
  <c r="K61" i="10"/>
  <c r="F59" i="10" l="1"/>
  <c r="L58" i="10"/>
  <c r="K62" i="10"/>
  <c r="F60" i="10" l="1"/>
  <c r="L59" i="10"/>
  <c r="K63" i="10"/>
  <c r="F61" i="10" l="1"/>
  <c r="L60" i="10"/>
  <c r="K64" i="10"/>
  <c r="F62" i="10" l="1"/>
  <c r="L61" i="10"/>
  <c r="K65" i="10"/>
  <c r="F63" i="10" l="1"/>
  <c r="L62" i="10"/>
  <c r="K66" i="10"/>
  <c r="F64" i="10" l="1"/>
  <c r="L63" i="10"/>
  <c r="K67" i="10"/>
  <c r="K68" i="10" s="1"/>
  <c r="K69" i="10" s="1"/>
  <c r="F65" i="10" l="1"/>
  <c r="L64" i="10"/>
  <c r="F66" i="10" l="1"/>
  <c r="L65" i="10"/>
  <c r="F67" i="10" l="1"/>
  <c r="F68" i="10" s="1"/>
  <c r="L66" i="10"/>
  <c r="L68" i="10" l="1"/>
  <c r="F69" i="10"/>
  <c r="L69" i="10" s="1"/>
  <c r="L67" i="10"/>
</calcChain>
</file>

<file path=xl/sharedStrings.xml><?xml version="1.0" encoding="utf-8"?>
<sst xmlns="http://schemas.openxmlformats.org/spreadsheetml/2006/main" count="288" uniqueCount="101">
  <si>
    <t>Date</t>
  </si>
  <si>
    <t>Payee</t>
  </si>
  <si>
    <t>Chq No.</t>
  </si>
  <si>
    <t>Amount</t>
  </si>
  <si>
    <t>ExVAT</t>
  </si>
  <si>
    <t>VAT</t>
  </si>
  <si>
    <t>Notes</t>
  </si>
  <si>
    <t>TOTALS</t>
  </si>
  <si>
    <t>Source</t>
  </si>
  <si>
    <t>Receipt</t>
  </si>
  <si>
    <t>Current Account</t>
  </si>
  <si>
    <t>Voucher</t>
  </si>
  <si>
    <t>Income</t>
  </si>
  <si>
    <t>Expenditure</t>
  </si>
  <si>
    <t>Balance</t>
  </si>
  <si>
    <t>Petty Cash</t>
  </si>
  <si>
    <t>Postage</t>
  </si>
  <si>
    <t>Opening Balance</t>
  </si>
  <si>
    <t>B/F</t>
  </si>
  <si>
    <t>Ref</t>
  </si>
  <si>
    <t>Description</t>
  </si>
  <si>
    <t>Debit</t>
  </si>
  <si>
    <t>Credit</t>
  </si>
  <si>
    <t>Run Bal</t>
  </si>
  <si>
    <t xml:space="preserve">Period Total:   </t>
  </si>
  <si>
    <t>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</si>
  <si>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</si>
  <si>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</si>
  <si>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Telephone</t>
  </si>
  <si>
    <t>Record of  Income 2018/2019</t>
  </si>
  <si>
    <t>PETTY CASH 2018/2019</t>
  </si>
  <si>
    <t>Record of Expenditure 2018/2019</t>
  </si>
  <si>
    <t>Bank</t>
  </si>
  <si>
    <t xml:space="preserve">O/S </t>
  </si>
  <si>
    <t>x-check</t>
  </si>
  <si>
    <t>X-Check</t>
  </si>
  <si>
    <t>Expenditure in 2019/2020</t>
  </si>
  <si>
    <t>Closing Balances at 31 Mar 2020</t>
  </si>
  <si>
    <t>Value of income from 31/03/2020 still to clear</t>
  </si>
  <si>
    <t>Summary 2018/2019</t>
  </si>
  <si>
    <t>Opening Balances at 1st August 2018</t>
  </si>
  <si>
    <t>1st August 2018 to 31st July 2019</t>
  </si>
  <si>
    <t>Income in 2018/2019</t>
  </si>
  <si>
    <t>Rent</t>
  </si>
  <si>
    <t>Interest</t>
  </si>
  <si>
    <t>Other</t>
  </si>
  <si>
    <t>Value of CHQs from 31/07/2018 to clear</t>
  </si>
  <si>
    <t>Wages &amp; Salaries</t>
  </si>
  <si>
    <t>Directors Wages</t>
  </si>
  <si>
    <t>National Insurance</t>
  </si>
  <si>
    <t>Premises Rent &amp; Other</t>
  </si>
  <si>
    <t>Premises Utilities</t>
  </si>
  <si>
    <t>Repairs &amp; Maintenance</t>
  </si>
  <si>
    <t>Advertising</t>
  </si>
  <si>
    <t>Deposits</t>
  </si>
  <si>
    <t>x-Check</t>
  </si>
  <si>
    <t>Penalty HMRC</t>
  </si>
  <si>
    <t>Refund Penalty HMRC</t>
  </si>
  <si>
    <t>FirstPort (Gnd Rent)</t>
  </si>
  <si>
    <t>FirstPort (Services)</t>
  </si>
  <si>
    <t>Companies House</t>
  </si>
  <si>
    <t>Gross Profit in 2018/2019</t>
  </si>
  <si>
    <t>Profit</t>
  </si>
  <si>
    <t>Gas Safety</t>
  </si>
  <si>
    <t>Boiler Repairs</t>
  </si>
  <si>
    <t>SUB TOTAL</t>
  </si>
  <si>
    <t>Petty Cash Expenditure</t>
  </si>
  <si>
    <t>Petty Cash Expenditure Total</t>
  </si>
  <si>
    <t>Toilet Flusher Mechanism</t>
  </si>
  <si>
    <t>Plumbing</t>
  </si>
  <si>
    <t>** use these column headings (on row 5) to manage the headings on the summary page</t>
  </si>
  <si>
    <t>Total</t>
  </si>
  <si>
    <t>Attributable Costs by Property</t>
  </si>
  <si>
    <t>Attributable Rental Income By Property</t>
  </si>
  <si>
    <t>Not Attributable As Rent</t>
  </si>
  <si>
    <t>Some Tiny Corp Entity Ltd</t>
  </si>
  <si>
    <t>Controller board for Boiler</t>
  </si>
  <si>
    <t xml:space="preserve">Drain Unblocker </t>
  </si>
  <si>
    <t xml:space="preserve">Mixer Tap </t>
  </si>
  <si>
    <t>Rent Property A</t>
  </si>
  <si>
    <t>Property A - Gas Safety</t>
  </si>
  <si>
    <t>Property A - AquaVac</t>
  </si>
  <si>
    <t>Property A - Plumbing repair</t>
  </si>
  <si>
    <t>Property A - Service Chrg</t>
  </si>
  <si>
    <t>Property A - Gnd Rent</t>
  </si>
  <si>
    <t>Property A - Boiler Care</t>
  </si>
  <si>
    <t>Property A - Service Chg</t>
  </si>
  <si>
    <t>Property A</t>
  </si>
  <si>
    <t>Rent Property C</t>
  </si>
  <si>
    <t>Stevenage Glass - Property C</t>
  </si>
  <si>
    <t>Property C - Gas Safety</t>
  </si>
  <si>
    <t>Property C</t>
  </si>
  <si>
    <t>Rent Property B</t>
  </si>
  <si>
    <t>Property B - Service Charge</t>
  </si>
  <si>
    <t>Wall Repair Property B</t>
  </si>
  <si>
    <t>Property B - FirstPort (Gnd Rent)</t>
  </si>
  <si>
    <t>Property B - FirstPort (Services)</t>
  </si>
  <si>
    <t>Property D - NHDC (C.TAX)</t>
  </si>
  <si>
    <t>Property D</t>
  </si>
  <si>
    <t>Property B</t>
  </si>
  <si>
    <t>Property D (C.TAX)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</si>
</sst>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b/>
      <sz val="11"/>
      <color indexed="9"/>
      <name val="Times New Roman"/>
      <family val="1"/>
    </font>
    <font>
      <sz val="10"/>
      <color indexed="8"/>
      <name val="Times New Roman"/>
      <family val="1"/>
    </font>
    <font>
      <sz val="9"/>
      <color indexed="23"/>
      <name val="Times New Roman"/>
      <family val="1"/>
    </font>
    <font>
      <sz val="11"/>
      <name val="Times New Roman"/>
      <family val="1"/>
    </font>
    <font>
      <sz val="8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10"/>
      <name val="Times New Roman"/>
      <family val="1"/>
    </font>
    <font>
      <sz val="11"/>
      <color indexed="63"/>
      <name val="Times New Roman"/>
      <family val="1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60"/>
      <name val="Times New Roman"/>
      <family val="1"/>
    </font>
    <font>
      <b/>
      <sz val="14"/>
      <color indexed="8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9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double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44" fontId="16" fillId="0" borderId="0" xfId="1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44" fontId="3" fillId="2" borderId="0" xfId="1" applyFont="1" applyFill="1" applyAlignment="1">
      <alignment horizontal="right"/>
    </xf>
    <xf numFmtId="44" fontId="16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4" fontId="2" fillId="0" borderId="1" xfId="1" applyFont="1" applyBorder="1"/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44" fontId="4" fillId="0" borderId="0" xfId="0" applyNumberFormat="1" applyFont="1"/>
    <xf numFmtId="0" fontId="10" fillId="0" borderId="0" xfId="0" applyFont="1"/>
    <xf numFmtId="0" fontId="16" fillId="0" borderId="0" xfId="0" applyFont="1" applyBorder="1"/>
    <xf numFmtId="44" fontId="6" fillId="0" borderId="0" xfId="1" applyFont="1"/>
    <xf numFmtId="0" fontId="11" fillId="0" borderId="0" xfId="0" applyFont="1"/>
    <xf numFmtId="0" fontId="13" fillId="0" borderId="0" xfId="0" applyFont="1"/>
    <xf numFmtId="44" fontId="16" fillId="0" borderId="0" xfId="1" applyFont="1" applyBorder="1"/>
    <xf numFmtId="0" fontId="14" fillId="0" borderId="0" xfId="0" applyFont="1"/>
    <xf numFmtId="44" fontId="3" fillId="2" borderId="0" xfId="1" applyFont="1" applyFill="1" applyAlignment="1"/>
    <xf numFmtId="44" fontId="10" fillId="0" borderId="0" xfId="1" applyFont="1"/>
    <xf numFmtId="14" fontId="16" fillId="0" borderId="0" xfId="0" applyNumberFormat="1" applyFont="1" applyAlignment="1">
      <alignment horizontal="center"/>
    </xf>
    <xf numFmtId="44" fontId="17" fillId="0" borderId="0" xfId="0" applyNumberFormat="1" applyFont="1"/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44" fontId="16" fillId="0" borderId="0" xfId="1" applyFont="1" applyAlignment="1">
      <alignment vertical="center" wrapText="1"/>
    </xf>
    <xf numFmtId="44" fontId="16" fillId="0" borderId="0" xfId="1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44" fontId="3" fillId="2" borderId="0" xfId="1" applyFont="1" applyFill="1" applyAlignment="1">
      <alignment horizontal="right" vertical="center" wrapText="1"/>
    </xf>
    <xf numFmtId="44" fontId="3" fillId="2" borderId="0" xfId="1" applyFont="1" applyFill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7" fillId="0" borderId="0" xfId="1" applyFont="1" applyAlignment="1">
      <alignment horizontal="right" vertical="center" wrapText="1"/>
    </xf>
    <xf numFmtId="8" fontId="16" fillId="0" borderId="0" xfId="1" applyNumberFormat="1" applyFont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44" fontId="16" fillId="0" borderId="3" xfId="1" applyFont="1" applyBorder="1" applyAlignment="1">
      <alignment vertical="center" wrapText="1"/>
    </xf>
    <xf numFmtId="44" fontId="2" fillId="0" borderId="6" xfId="1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44" fontId="16" fillId="0" borderId="0" xfId="1" applyFont="1" applyFill="1" applyAlignment="1">
      <alignment horizontal="center" vertical="center" wrapText="1"/>
    </xf>
    <xf numFmtId="44" fontId="10" fillId="0" borderId="0" xfId="1" applyFont="1" applyAlignment="1">
      <alignment vertical="center" wrapText="1"/>
    </xf>
    <xf numFmtId="44" fontId="10" fillId="0" borderId="0" xfId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44" fontId="16" fillId="0" borderId="3" xfId="1" applyFont="1" applyBorder="1"/>
    <xf numFmtId="0" fontId="16" fillId="0" borderId="0" xfId="0" applyFont="1" applyAlignment="1">
      <alignment vertical="center" wrapText="1"/>
    </xf>
    <xf numFmtId="14" fontId="16" fillId="0" borderId="3" xfId="0" applyNumberFormat="1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4" fontId="2" fillId="0" borderId="0" xfId="1" applyNumberFormat="1" applyFont="1"/>
    <xf numFmtId="44" fontId="15" fillId="0" borderId="0" xfId="1" applyNumberFormat="1" applyFont="1"/>
    <xf numFmtId="14" fontId="16" fillId="0" borderId="3" xfId="0" applyNumberFormat="1" applyFont="1" applyBorder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44" fontId="20" fillId="4" borderId="3" xfId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4" fontId="21" fillId="0" borderId="0" xfId="1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20" fillId="5" borderId="2" xfId="0" applyFont="1" applyFill="1" applyBorder="1" applyAlignment="1">
      <alignment horizontal="center" vertical="center" wrapText="1"/>
    </xf>
    <xf numFmtId="44" fontId="16" fillId="0" borderId="3" xfId="1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3" fillId="0" borderId="0" xfId="0" applyFont="1" applyAlignment="1"/>
    <xf numFmtId="0" fontId="23" fillId="0" borderId="0" xfId="0" applyFont="1" applyAlignment="1">
      <alignment horizontal="right"/>
    </xf>
    <xf numFmtId="0" fontId="16" fillId="0" borderId="7" xfId="0" applyFont="1" applyBorder="1" applyAlignment="1">
      <alignment vertical="center" wrapText="1"/>
    </xf>
    <xf numFmtId="44" fontId="16" fillId="0" borderId="8" xfId="0" applyNumberFormat="1" applyFont="1" applyBorder="1"/>
    <xf numFmtId="0" fontId="16" fillId="0" borderId="0" xfId="0" applyFont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4" fontId="16" fillId="0" borderId="0" xfId="0" applyNumberFormat="1" applyFont="1" applyAlignment="1">
      <alignment vertical="center" wrapText="1"/>
    </xf>
    <xf numFmtId="44" fontId="20" fillId="5" borderId="2" xfId="0" applyNumberFormat="1" applyFont="1" applyFill="1" applyBorder="1" applyAlignment="1">
      <alignment horizontal="center" vertical="center" wrapText="1"/>
    </xf>
    <xf numFmtId="44" fontId="17" fillId="0" borderId="0" xfId="0" applyNumberFormat="1" applyFont="1" applyAlignment="1">
      <alignment horizontal="center" vertical="center" wrapText="1"/>
    </xf>
    <xf numFmtId="44" fontId="16" fillId="0" borderId="0" xfId="0" applyNumberFormat="1" applyFont="1" applyAlignment="1">
      <alignment horizontal="right" vertical="center" wrapText="1"/>
    </xf>
    <xf numFmtId="44" fontId="16" fillId="0" borderId="3" xfId="0" applyNumberFormat="1" applyFont="1" applyBorder="1" applyAlignment="1">
      <alignment horizontal="right" vertical="center" wrapText="1"/>
    </xf>
    <xf numFmtId="0" fontId="20" fillId="4" borderId="0" xfId="0" applyFont="1" applyFill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44" fontId="17" fillId="0" borderId="1" xfId="0" applyNumberFormat="1" applyFont="1" applyBorder="1" applyAlignment="1">
      <alignment horizontal="right" vertical="center" wrapText="1"/>
    </xf>
    <xf numFmtId="44" fontId="3" fillId="2" borderId="0" xfId="1" applyFont="1" applyFill="1" applyAlignment="1">
      <alignment vertical="center" wrapText="1"/>
    </xf>
    <xf numFmtId="0" fontId="4" fillId="0" borderId="3" xfId="0" applyFont="1" applyBorder="1" applyAlignment="1">
      <alignment vertical="center" wrapText="1"/>
    </xf>
    <xf numFmtId="44" fontId="16" fillId="0" borderId="10" xfId="1" applyFont="1" applyBorder="1" applyAlignment="1">
      <alignment vertical="center" wrapText="1"/>
    </xf>
    <xf numFmtId="44" fontId="20" fillId="4" borderId="7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4" fontId="16" fillId="0" borderId="7" xfId="0" applyNumberFormat="1" applyFont="1" applyBorder="1" applyAlignment="1">
      <alignment horizontal="center"/>
    </xf>
    <xf numFmtId="0" fontId="16" fillId="0" borderId="7" xfId="0" applyFont="1" applyBorder="1"/>
    <xf numFmtId="0" fontId="16" fillId="0" borderId="7" xfId="0" applyFont="1" applyBorder="1" applyAlignment="1">
      <alignment horizontal="center"/>
    </xf>
    <xf numFmtId="44" fontId="16" fillId="0" borderId="7" xfId="1" applyFont="1" applyBorder="1"/>
    <xf numFmtId="14" fontId="16" fillId="3" borderId="9" xfId="0" applyNumberFormat="1" applyFont="1" applyFill="1" applyBorder="1" applyAlignment="1">
      <alignment horizontal="center"/>
    </xf>
    <xf numFmtId="0" fontId="16" fillId="3" borderId="9" xfId="0" applyFont="1" applyFill="1" applyBorder="1"/>
    <xf numFmtId="0" fontId="16" fillId="3" borderId="9" xfId="0" applyFont="1" applyFill="1" applyBorder="1" applyAlignment="1">
      <alignment horizontal="center"/>
    </xf>
    <xf numFmtId="44" fontId="16" fillId="3" borderId="9" xfId="1" applyFont="1" applyFill="1" applyBorder="1"/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/>
    <xf numFmtId="0" fontId="16" fillId="0" borderId="9" xfId="0" applyFont="1" applyBorder="1" applyAlignment="1">
      <alignment horizontal="center"/>
    </xf>
    <xf numFmtId="44" fontId="16" fillId="0" borderId="9" xfId="1" applyFont="1" applyBorder="1"/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44" fontId="16" fillId="0" borderId="0" xfId="1" applyFont="1" applyBorder="1" applyAlignment="1">
      <alignment vertical="center" wrapText="1"/>
    </xf>
    <xf numFmtId="14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4" fontId="3" fillId="0" borderId="0" xfId="1" applyFont="1" applyFill="1" applyAlignment="1">
      <alignment horizontal="right" vertical="center" wrapText="1"/>
    </xf>
    <xf numFmtId="44" fontId="3" fillId="0" borderId="0" xfId="1" applyFont="1" applyFill="1" applyAlignment="1">
      <alignment horizontal="center" vertical="center" wrapText="1"/>
    </xf>
    <xf numFmtId="44" fontId="3" fillId="0" borderId="0" xfId="1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44" fontId="16" fillId="0" borderId="3" xfId="0" applyNumberFormat="1" applyFont="1" applyBorder="1" applyAlignment="1">
      <alignment vertical="center" wrapText="1"/>
    </xf>
    <xf numFmtId="0" fontId="16" fillId="0" borderId="3" xfId="0" applyFont="1" applyBorder="1" applyAlignment="1">
      <alignment horizontal="left"/>
    </xf>
    <xf numFmtId="44" fontId="16" fillId="0" borderId="3" xfId="0" applyNumberFormat="1" applyFont="1" applyFill="1" applyBorder="1" applyAlignment="1">
      <alignment horizontal="left"/>
    </xf>
    <xf numFmtId="44" fontId="16" fillId="0" borderId="3" xfId="0" applyNumberFormat="1" applyFont="1" applyFill="1" applyBorder="1" applyAlignment="1">
      <alignment vertical="center" wrapText="1"/>
    </xf>
    <xf numFmtId="0" fontId="16" fillId="0" borderId="3" xfId="0" applyFont="1" applyBorder="1" applyAlignment="1">
      <alignment horizontal="left" vertical="center"/>
    </xf>
    <xf numFmtId="44" fontId="16" fillId="0" borderId="3" xfId="0" applyNumberFormat="1" applyFont="1" applyFill="1" applyBorder="1" applyAlignment="1">
      <alignment horizontal="right" vertical="center" wrapText="1"/>
    </xf>
    <xf numFmtId="0" fontId="26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14" fontId="16" fillId="0" borderId="0" xfId="0" applyNumberFormat="1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44" fontId="16" fillId="0" borderId="5" xfId="0" applyNumberFormat="1" applyFont="1" applyBorder="1" applyAlignment="1">
      <alignment horizontal="right" vertical="center" wrapText="1"/>
    </xf>
    <xf numFmtId="44" fontId="16" fillId="0" borderId="7" xfId="1" applyFont="1" applyBorder="1" applyAlignment="1">
      <alignment vertical="center" wrapText="1"/>
    </xf>
    <xf numFmtId="14" fontId="16" fillId="0" borderId="15" xfId="0" applyNumberFormat="1" applyFont="1" applyBorder="1" applyAlignment="1">
      <alignment horizontal="center" vertical="center" wrapText="1"/>
    </xf>
    <xf numFmtId="1" fontId="16" fillId="0" borderId="16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44" fontId="12" fillId="0" borderId="3" xfId="0" applyNumberFormat="1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44" fontId="16" fillId="0" borderId="3" xfId="1" applyFont="1" applyBorder="1" applyAlignment="1">
      <alignment horizontal="right" vertical="center" wrapText="1"/>
    </xf>
    <xf numFmtId="44" fontId="16" fillId="0" borderId="3" xfId="1" applyFont="1" applyFill="1" applyBorder="1" applyAlignment="1">
      <alignment horizontal="right" vertical="center" wrapText="1"/>
    </xf>
    <xf numFmtId="44" fontId="16" fillId="0" borderId="3" xfId="0" applyNumberFormat="1" applyFont="1" applyFill="1" applyBorder="1" applyAlignment="1">
      <alignment horizontal="right"/>
    </xf>
    <xf numFmtId="44" fontId="16" fillId="0" borderId="3" xfId="0" applyNumberFormat="1" applyFont="1" applyFill="1" applyBorder="1" applyAlignment="1">
      <alignment horizontal="right" vertical="center"/>
    </xf>
    <xf numFmtId="44" fontId="16" fillId="0" borderId="13" xfId="1" applyFont="1" applyBorder="1" applyAlignment="1">
      <alignment horizontal="right" vertical="center" wrapText="1"/>
    </xf>
    <xf numFmtId="44" fontId="16" fillId="0" borderId="0" xfId="1" applyFont="1" applyBorder="1" applyAlignment="1">
      <alignment horizontal="right" vertical="center" wrapText="1"/>
    </xf>
    <xf numFmtId="44" fontId="16" fillId="0" borderId="7" xfId="1" applyFont="1" applyBorder="1" applyAlignment="1">
      <alignment horizontal="right" vertical="center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4" fontId="20" fillId="4" borderId="13" xfId="1" applyFont="1" applyFill="1" applyBorder="1" applyAlignment="1">
      <alignment horizontal="center" vertical="center" wrapText="1"/>
    </xf>
    <xf numFmtId="44" fontId="20" fillId="4" borderId="7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4" fontId="3" fillId="2" borderId="0" xfId="1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7" fontId="4" fillId="0" borderId="9" xfId="0" applyNumberFormat="1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0" borderId="1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17" fontId="4" fillId="0" borderId="11" xfId="0" applyNumberFormat="1" applyFont="1" applyBorder="1" applyAlignment="1">
      <alignment horizontal="left"/>
    </xf>
    <xf numFmtId="17" fontId="4" fillId="0" borderId="14" xfId="0" applyNumberFormat="1" applyFont="1" applyBorder="1" applyAlignment="1">
      <alignment horizontal="left"/>
    </xf>
    <xf numFmtId="17" fontId="4" fillId="0" borderId="12" xfId="0" applyNumberFormat="1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44" fontId="17" fillId="6" borderId="0" xfId="1" applyNumberFormat="1" applyFont="1" applyFill="1"/>
    <xf numFmtId="44" fontId="17" fillId="6" borderId="0" xfId="1" applyFont="1" applyFill="1"/>
    <xf numFmtId="0" fontId="16" fillId="6" borderId="0" xfId="0" applyFont="1" applyFill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38100</xdr:rowOff>
    </xdr:from>
    <xdr:to>
      <xdr:col>7</xdr:col>
      <xdr:colOff>638174</xdr:colOff>
      <xdr:row>5</xdr:row>
      <xdr:rowOff>80165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38100"/>
          <a:ext cx="628649" cy="104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9525</xdr:rowOff>
    </xdr:from>
    <xdr:to>
      <xdr:col>6</xdr:col>
      <xdr:colOff>9524</xdr:colOff>
      <xdr:row>1</xdr:row>
      <xdr:rowOff>118265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9525"/>
          <a:ext cx="628649" cy="104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2178708</xdr:colOff>
      <xdr:row>0</xdr:row>
      <xdr:rowOff>0</xdr:rowOff>
    </xdr:from>
    <xdr:to>
      <xdr:col>8</xdr:col>
      <xdr:colOff>2807357</xdr:colOff>
      <xdr:row>3</xdr:row>
      <xdr:rowOff>330552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4225" y="0"/>
          <a:ext cx="628649" cy="104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28575</xdr:rowOff>
    </xdr:from>
    <xdr:to>
      <xdr:col>9</xdr:col>
      <xdr:colOff>295274</xdr:colOff>
      <xdr:row>3</xdr:row>
      <xdr:rowOff>442115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8575"/>
          <a:ext cx="628649" cy="104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0</xdr:row>
      <xdr:rowOff>0</xdr:rowOff>
    </xdr:from>
    <xdr:to>
      <xdr:col>9</xdr:col>
      <xdr:colOff>285749</xdr:colOff>
      <xdr:row>3</xdr:row>
      <xdr:rowOff>423065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0"/>
          <a:ext cx="628649" cy="104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56"/>
  <sheetViews>
    <sheetView tabSelected="1" workbookViewId="0">
      <selection activeCell="D3" sqref="D3"/>
    </sheetView>
  </sheetViews>
  <sheetFormatPr defaultRowHeight="15" x14ac:dyDescent="0.25"/>
  <cols>
    <col min="1" max="3" width="9.140625" style="2"/>
    <col min="4" max="4" width="15" style="2" customWidth="1"/>
    <col min="5" max="5" width="12.28515625" style="2" customWidth="1"/>
    <col min="6" max="6" width="12.7109375" style="2" bestFit="1" customWidth="1"/>
    <col min="7" max="7" width="2.42578125" style="2" customWidth="1"/>
    <col min="8" max="8" width="14.140625" style="2" customWidth="1"/>
    <col min="9" max="9" width="10.5703125" style="2" bestFit="1" customWidth="1"/>
    <col min="10" max="11" width="11.5703125" style="2" bestFit="1" customWidth="1"/>
    <col min="12" max="12" width="9.140625" style="2"/>
    <col min="13" max="13" width="10.5703125" style="2" bestFit="1" customWidth="1"/>
    <col min="14" max="16384" width="9.140625" style="2"/>
  </cols>
  <sheetData>
    <row r="1" spans="1:11" ht="18.75" x14ac:dyDescent="0.3">
      <c r="A1" s="22" t="s">
        <v>75</v>
      </c>
    </row>
    <row r="2" spans="1:11" x14ac:dyDescent="0.25">
      <c r="A2" s="1" t="s">
        <v>39</v>
      </c>
    </row>
    <row r="3" spans="1:11" x14ac:dyDescent="0.25">
      <c r="A3" s="1" t="s">
        <v>41</v>
      </c>
      <c r="E3" s="146">
        <v>11</v>
      </c>
    </row>
    <row r="4" spans="1:11" x14ac:dyDescent="0.25">
      <c r="A4" s="13"/>
    </row>
    <row r="6" spans="1:11" x14ac:dyDescent="0.25">
      <c r="A6" s="1" t="s">
        <v>40</v>
      </c>
    </row>
    <row r="7" spans="1:11" x14ac:dyDescent="0.25">
      <c r="B7" s="2" t="s">
        <v>10</v>
      </c>
      <c r="E7" s="2" t="s">
        <v>26</v>
      </c>
      <c r="H7" s="204">
        <v>-421.95</v>
      </c>
      <c r="K7" s="4"/>
    </row>
    <row r="8" spans="1:11" x14ac:dyDescent="0.25">
      <c r="B8" s="2" t="s">
        <v>15</v>
      </c>
      <c r="D8" s="14"/>
      <c r="H8" s="205">
        <v>230</v>
      </c>
      <c r="K8" s="4"/>
    </row>
    <row r="9" spans="1:11" x14ac:dyDescent="0.25">
      <c r="D9" s="14"/>
      <c r="H9" s="26"/>
      <c r="K9" s="8"/>
    </row>
    <row r="11" spans="1:11" x14ac:dyDescent="0.25">
      <c r="B11" s="2" t="s">
        <v>46</v>
      </c>
      <c r="E11" s="14"/>
      <c r="F11" s="8">
        <v>0</v>
      </c>
    </row>
    <row r="12" spans="1:11" x14ac:dyDescent="0.25">
      <c r="F12" s="4"/>
    </row>
    <row r="13" spans="1:11" x14ac:dyDescent="0.25">
      <c r="A13" s="1" t="s">
        <v>36</v>
      </c>
    </row>
    <row r="14" spans="1:11" x14ac:dyDescent="0.25">
      <c r="C14" s="176" t="str">
        <f>ExpendLbl1</f>
        <v>Wages &amp; Salaries</v>
      </c>
      <c r="D14" s="176"/>
      <c r="E14" s="15"/>
      <c r="F14" s="4">
        <f>IF(ExpendLbl1&lt;&gt;0,Expend1,"")</f>
        <v>0</v>
      </c>
    </row>
    <row r="15" spans="1:11" x14ac:dyDescent="0.25">
      <c r="C15" s="176" t="str">
        <f>ExpendLbl2</f>
        <v>Directors Wages</v>
      </c>
      <c r="D15" s="176"/>
      <c r="E15" s="15"/>
      <c r="F15" s="4">
        <f>IF(ExpendLbl2&lt;&gt;0,Expend2,"")</f>
        <v>0</v>
      </c>
    </row>
    <row r="16" spans="1:11" x14ac:dyDescent="0.25">
      <c r="C16" s="176" t="str">
        <f>ExpendLbl3</f>
        <v>National Insurance</v>
      </c>
      <c r="D16" s="176"/>
      <c r="E16" s="15"/>
      <c r="F16" s="4">
        <f>IF(ExpendLbl3&lt;&gt;0,Expend3,"")</f>
        <v>0</v>
      </c>
    </row>
    <row r="17" spans="1:8" x14ac:dyDescent="0.25">
      <c r="C17" s="175" t="str">
        <f>ExpendLbl4</f>
        <v>Premises Rent &amp; Other</v>
      </c>
      <c r="D17" s="175"/>
      <c r="E17" s="15"/>
      <c r="F17" s="4">
        <f>IF(ExpendLbl4&lt;&gt;0,Expend4,"")</f>
        <v>2891.4200000000005</v>
      </c>
    </row>
    <row r="18" spans="1:8" x14ac:dyDescent="0.25">
      <c r="C18" s="175" t="str">
        <f>ExpendLbl5</f>
        <v>Premises Utilities</v>
      </c>
      <c r="D18" s="175"/>
      <c r="E18" s="15"/>
      <c r="F18" s="4">
        <f>IF(ExpendLbl5&lt;&gt;0,Expend5,"")</f>
        <v>0</v>
      </c>
    </row>
    <row r="19" spans="1:8" x14ac:dyDescent="0.25">
      <c r="C19" s="175" t="str">
        <f>ExpendLbl6</f>
        <v>Repairs &amp; Maintenance</v>
      </c>
      <c r="D19" s="175"/>
      <c r="E19" s="15"/>
      <c r="F19" s="4">
        <f>IF(ExpendLbl6&lt;&gt;0,Expend6,"")</f>
        <v>983.69</v>
      </c>
    </row>
    <row r="20" spans="1:8" x14ac:dyDescent="0.25">
      <c r="C20" s="176" t="str">
        <f>ExpendLbl7</f>
        <v>Advertising</v>
      </c>
      <c r="D20" s="176"/>
      <c r="E20" s="15"/>
      <c r="F20" s="4">
        <f>IF(ExpendLbl7&lt;&gt;0,Expend7,"")</f>
        <v>0</v>
      </c>
    </row>
    <row r="21" spans="1:8" x14ac:dyDescent="0.25">
      <c r="C21" s="176" t="str">
        <f>ExpendLbl8</f>
        <v>Deposits</v>
      </c>
      <c r="D21" s="176"/>
      <c r="E21" s="15"/>
      <c r="F21" s="4">
        <f>IF(ExpendLbl8&lt;&gt;0,Expend8,"")</f>
        <v>0</v>
      </c>
      <c r="G21" s="16"/>
    </row>
    <row r="22" spans="1:8" x14ac:dyDescent="0.25">
      <c r="C22" s="176" t="str">
        <f>IF(ExpendLbl9&lt;&gt;0,ExpendLbl9,"")</f>
        <v>Other</v>
      </c>
      <c r="D22" s="176"/>
      <c r="E22" s="15"/>
      <c r="F22" s="4">
        <f>IF(ExpendLbl9&lt;&gt;0,Expend9,"")</f>
        <v>13</v>
      </c>
      <c r="G22" s="16"/>
    </row>
    <row r="23" spans="1:8" x14ac:dyDescent="0.25">
      <c r="C23" s="176" t="str">
        <f>IF(ExpendLbl10&lt;&gt;0,ExpendLbl10,"")</f>
        <v>Gas Safety</v>
      </c>
      <c r="D23" s="176"/>
      <c r="E23" s="15"/>
      <c r="F23" s="4">
        <f>IF(ExpendLbl10&lt;&gt;0,Expend10,"")</f>
        <v>210</v>
      </c>
      <c r="G23" s="16"/>
    </row>
    <row r="24" spans="1:8" x14ac:dyDescent="0.25">
      <c r="C24" s="176" t="str">
        <f>IF(ExpendLbl11&lt;&gt;0,ExpendLbl11,"")</f>
        <v/>
      </c>
      <c r="D24" s="176"/>
      <c r="E24" s="15"/>
      <c r="F24" s="4" t="str">
        <f>IF(ExpendLbl11&lt;&gt;0,Expend11,"")</f>
        <v/>
      </c>
      <c r="G24" s="16"/>
    </row>
    <row r="25" spans="1:8" x14ac:dyDescent="0.25">
      <c r="C25" s="176" t="str">
        <f>IF(ExpendLbl12&lt;&gt;0,ExpendLbl12,"")</f>
        <v/>
      </c>
      <c r="D25" s="176"/>
      <c r="E25" s="15"/>
      <c r="F25" s="4" t="str">
        <f>IF(ExpendLbl12&lt;&gt;0,Expend12,"")</f>
        <v/>
      </c>
      <c r="G25" s="16"/>
    </row>
    <row r="26" spans="1:8" x14ac:dyDescent="0.25">
      <c r="C26" s="176" t="str">
        <f>IF(ExpendLbl13&lt;&gt;0,ExpendLbl13,"")</f>
        <v/>
      </c>
      <c r="D26" s="176"/>
      <c r="E26" s="15"/>
      <c r="F26" s="4" t="str">
        <f>IF(ExpendLbl13&lt;&gt;0,Expend13,"")</f>
        <v/>
      </c>
      <c r="G26" s="16"/>
      <c r="H26" s="26">
        <f>SUM(F14:F24)</f>
        <v>4098.1100000000006</v>
      </c>
    </row>
    <row r="27" spans="1:8" x14ac:dyDescent="0.25">
      <c r="C27" s="153" t="s">
        <v>66</v>
      </c>
      <c r="D27" s="153"/>
      <c r="E27" s="15"/>
      <c r="F27" s="4">
        <f>PettyCashExpend</f>
        <v>189.37</v>
      </c>
      <c r="G27" s="16"/>
    </row>
    <row r="28" spans="1:8" x14ac:dyDescent="0.25">
      <c r="C28" s="177"/>
      <c r="D28" s="177"/>
      <c r="E28" s="15"/>
      <c r="F28" s="4"/>
      <c r="G28" s="16"/>
      <c r="H28" s="26">
        <f>H26+F27</f>
        <v>4287.4800000000005</v>
      </c>
    </row>
    <row r="29" spans="1:8" x14ac:dyDescent="0.25">
      <c r="C29" s="177"/>
      <c r="D29" s="177"/>
      <c r="E29" s="15"/>
      <c r="F29" s="4"/>
      <c r="G29" s="16"/>
    </row>
    <row r="31" spans="1:8" x14ac:dyDescent="0.25">
      <c r="A31" s="1" t="s">
        <v>42</v>
      </c>
    </row>
    <row r="32" spans="1:8" x14ac:dyDescent="0.25">
      <c r="C32" s="2" t="str">
        <f>IncLbl1</f>
        <v>Rent</v>
      </c>
      <c r="F32" s="8">
        <f>IF(IncLbl1&lt;&gt;0,IncColumn1,"")</f>
        <v>32400</v>
      </c>
    </row>
    <row r="33" spans="1:13" x14ac:dyDescent="0.25">
      <c r="C33" s="2" t="str">
        <f>IncLbl2</f>
        <v>Deposits</v>
      </c>
      <c r="F33" s="8">
        <f>IF(IncLbl2&lt;&gt;0,IncColumn2,"")</f>
        <v>0</v>
      </c>
    </row>
    <row r="34" spans="1:13" x14ac:dyDescent="0.25">
      <c r="C34" s="2" t="str">
        <f>IncLbl3</f>
        <v>Interest</v>
      </c>
      <c r="F34" s="8">
        <f>IF(IncLbl3&lt;&gt;0,IncColumn3,"")</f>
        <v>0</v>
      </c>
    </row>
    <row r="35" spans="1:13" x14ac:dyDescent="0.25">
      <c r="C35" s="2" t="str">
        <f>IncLbl4</f>
        <v>Other</v>
      </c>
      <c r="F35" s="87">
        <f>IF(IncLbl4&lt;&gt;0,IncColumn4,"")</f>
        <v>570</v>
      </c>
    </row>
    <row r="36" spans="1:13" x14ac:dyDescent="0.25">
      <c r="F36" s="26">
        <f>SUM(F32:F35)</f>
        <v>32970</v>
      </c>
    </row>
    <row r="38" spans="1:13" x14ac:dyDescent="0.25">
      <c r="B38" s="2" t="s">
        <v>38</v>
      </c>
      <c r="F38" s="18">
        <f>SUM(Income!D43)</f>
        <v>0</v>
      </c>
      <c r="H38" s="26">
        <f>SUM(F36)</f>
        <v>32970</v>
      </c>
    </row>
    <row r="39" spans="1:13" x14ac:dyDescent="0.25">
      <c r="F39" s="18"/>
      <c r="H39" s="26"/>
    </row>
    <row r="40" spans="1:13" x14ac:dyDescent="0.25">
      <c r="A40" s="1" t="s">
        <v>61</v>
      </c>
      <c r="F40" s="18"/>
      <c r="H40" s="26"/>
    </row>
    <row r="41" spans="1:13" x14ac:dyDescent="0.25">
      <c r="C41" s="2" t="s">
        <v>13</v>
      </c>
      <c r="F41" s="18"/>
      <c r="H41" s="26">
        <f>H28</f>
        <v>4287.4800000000005</v>
      </c>
    </row>
    <row r="42" spans="1:13" x14ac:dyDescent="0.25">
      <c r="C42" s="2" t="s">
        <v>12</v>
      </c>
      <c r="F42" s="18"/>
      <c r="H42" s="26">
        <f>H38</f>
        <v>32970</v>
      </c>
    </row>
    <row r="43" spans="1:13" x14ac:dyDescent="0.25">
      <c r="C43" s="2" t="s">
        <v>62</v>
      </c>
      <c r="F43" s="18"/>
      <c r="H43" s="26">
        <f>H42-H41</f>
        <v>28682.52</v>
      </c>
      <c r="M43" s="8"/>
    </row>
    <row r="44" spans="1:13" x14ac:dyDescent="0.25">
      <c r="B44" s="19"/>
    </row>
    <row r="45" spans="1:13" x14ac:dyDescent="0.25">
      <c r="A45" s="1" t="s">
        <v>37</v>
      </c>
    </row>
    <row r="46" spans="1:13" x14ac:dyDescent="0.25">
      <c r="A46" s="1"/>
      <c r="F46" s="85"/>
      <c r="J46" s="2" t="s">
        <v>35</v>
      </c>
    </row>
    <row r="47" spans="1:13" x14ac:dyDescent="0.25">
      <c r="B47" s="2" t="s">
        <v>10</v>
      </c>
      <c r="H47" s="62">
        <f>CurrentAccountBalance</f>
        <v>28449.94</v>
      </c>
      <c r="I47" s="20"/>
      <c r="J47" s="8">
        <f>H38+H7+H8</f>
        <v>32778.050000000003</v>
      </c>
      <c r="K47" s="2" t="s">
        <v>27</v>
      </c>
    </row>
    <row r="48" spans="1:13" x14ac:dyDescent="0.25">
      <c r="B48" s="2" t="s">
        <v>15</v>
      </c>
      <c r="D48" s="14"/>
      <c r="H48" s="63">
        <f>SUM('Petty Cash'!F46)</f>
        <v>40.629999999999995</v>
      </c>
      <c r="I48" s="20"/>
    </row>
    <row r="50" spans="1:8" x14ac:dyDescent="0.25">
      <c r="F50" s="26"/>
    </row>
    <row r="52" spans="1:8" x14ac:dyDescent="0.25">
      <c r="A52" s="1"/>
    </row>
    <row r="53" spans="1:8" x14ac:dyDescent="0.25">
      <c r="B53" s="84"/>
      <c r="C53" s="84"/>
      <c r="D53" s="84"/>
      <c r="E53" s="84"/>
      <c r="F53" s="84"/>
      <c r="G53" s="84"/>
      <c r="H53" s="84"/>
    </row>
    <row r="54" spans="1:8" x14ac:dyDescent="0.25">
      <c r="F54" s="8"/>
    </row>
    <row r="55" spans="1:8" x14ac:dyDescent="0.25">
      <c r="F55" s="8"/>
    </row>
    <row r="56" spans="1:8" x14ac:dyDescent="0.25">
      <c r="F56" s="21"/>
    </row>
  </sheetData>
  <mergeCells count="15">
    <mergeCell ref="C22:D22"/>
    <mergeCell ref="C29:D29"/>
    <mergeCell ref="C23:D23"/>
    <mergeCell ref="C20:D20"/>
    <mergeCell ref="C21:D21"/>
    <mergeCell ref="C24:D24"/>
    <mergeCell ref="C28:D28"/>
    <mergeCell ref="C25:D25"/>
    <mergeCell ref="C26:D26"/>
    <mergeCell ref="C19:D19"/>
    <mergeCell ref="C14:D14"/>
    <mergeCell ref="C15:D15"/>
    <mergeCell ref="C16:D16"/>
    <mergeCell ref="C17:D17"/>
    <mergeCell ref="C18:D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72"/>
  <sheetViews>
    <sheetView zoomScaleNormal="100" workbookViewId="0">
      <pane ySplit="4" topLeftCell="A5" activePane="bottomLeft" state="frozen"/>
      <selection pane="bottomLeft" activeCell="H5" sqref="H5"/>
    </sheetView>
  </sheetViews>
  <sheetFormatPr defaultRowHeight="15" x14ac:dyDescent="0.25"/>
  <cols>
    <col min="1" max="1" width="13.85546875" style="29" bestFit="1" customWidth="1"/>
    <col min="2" max="2" width="29.85546875" style="94" customWidth="1"/>
    <col min="3" max="3" width="10.140625" style="94" customWidth="1"/>
    <col min="4" max="4" width="14.140625" style="97" customWidth="1"/>
    <col min="5" max="6" width="12.85546875" style="97" customWidth="1"/>
    <col min="7" max="7" width="3.28515625" style="71" customWidth="1"/>
    <col min="8" max="8" width="15.140625" style="94" customWidth="1"/>
    <col min="9" max="9" width="35.140625" style="94" customWidth="1"/>
    <col min="10" max="10" width="9.42578125" style="94" bestFit="1" customWidth="1"/>
    <col min="11" max="11" width="15.140625" style="94" customWidth="1"/>
    <col min="12" max="12" width="12.28515625" style="94" customWidth="1"/>
    <col min="13" max="14" width="9.140625" style="94"/>
    <col min="15" max="15" width="10.28515625" style="94" bestFit="1" customWidth="1"/>
    <col min="16" max="16384" width="9.140625" style="94"/>
  </cols>
  <sheetData>
    <row r="1" spans="1:12" ht="73.5" customHeight="1" x14ac:dyDescent="0.3">
      <c r="A1" s="22" t="s">
        <v>75</v>
      </c>
    </row>
    <row r="3" spans="1:12" s="71" customFormat="1" ht="14.25" x14ac:dyDescent="0.25">
      <c r="A3" s="78" t="s">
        <v>0</v>
      </c>
      <c r="B3" s="78" t="s">
        <v>20</v>
      </c>
      <c r="C3" s="78" t="s">
        <v>19</v>
      </c>
      <c r="D3" s="98" t="s">
        <v>21</v>
      </c>
      <c r="E3" s="98" t="s">
        <v>22</v>
      </c>
      <c r="F3" s="98" t="s">
        <v>23</v>
      </c>
    </row>
    <row r="4" spans="1:12" s="71" customFormat="1" ht="15" customHeight="1" x14ac:dyDescent="0.25">
      <c r="B4" s="71" t="s">
        <v>18</v>
      </c>
      <c r="D4" s="99"/>
      <c r="E4" s="100">
        <f>OpenCurrent</f>
        <v>-421.95</v>
      </c>
      <c r="F4" s="99"/>
      <c r="I4" s="29"/>
      <c r="K4" s="71" t="s">
        <v>32</v>
      </c>
      <c r="L4" s="71" t="s">
        <v>33</v>
      </c>
    </row>
    <row r="5" spans="1:12" s="71" customFormat="1" ht="9.75" customHeight="1" x14ac:dyDescent="0.25">
      <c r="D5" s="99"/>
      <c r="E5" s="100"/>
      <c r="F5" s="99"/>
    </row>
    <row r="6" spans="1:12" x14ac:dyDescent="0.25">
      <c r="A6" s="131">
        <v>43313</v>
      </c>
      <c r="B6" s="46" t="s">
        <v>88</v>
      </c>
      <c r="C6" s="130"/>
      <c r="D6" s="168"/>
      <c r="E6" s="169">
        <v>700</v>
      </c>
      <c r="F6" s="101">
        <f>SUM(E4-D6+E6)</f>
        <v>278.05</v>
      </c>
      <c r="G6" s="102" t="s">
        <v>25</v>
      </c>
      <c r="J6" s="150">
        <f t="shared" ref="J6:J13" si="0">IF(G6="R",1,0)</f>
        <v>1</v>
      </c>
      <c r="K6" s="97">
        <f>E4+(-D6+E6)*J6</f>
        <v>278.05</v>
      </c>
      <c r="L6" s="97">
        <f>K6-F6</f>
        <v>0</v>
      </c>
    </row>
    <row r="7" spans="1:12" x14ac:dyDescent="0.25">
      <c r="A7" s="131">
        <v>43320</v>
      </c>
      <c r="B7" s="46" t="s">
        <v>79</v>
      </c>
      <c r="C7" s="139"/>
      <c r="D7" s="168"/>
      <c r="E7" s="169">
        <v>1300</v>
      </c>
      <c r="F7" s="101">
        <f t="shared" ref="F7:F69" si="1">SUM(F6-D7+E7)</f>
        <v>1578.05</v>
      </c>
      <c r="G7" s="102" t="s">
        <v>25</v>
      </c>
      <c r="J7" s="150">
        <f t="shared" si="0"/>
        <v>1</v>
      </c>
      <c r="K7" s="97">
        <f>K6+(-D7+E7)*J7</f>
        <v>1578.05</v>
      </c>
      <c r="L7" s="97">
        <f t="shared" ref="L7:L13" si="2">K7-F7</f>
        <v>0</v>
      </c>
    </row>
    <row r="8" spans="1:12" x14ac:dyDescent="0.25">
      <c r="A8" s="131">
        <v>43321</v>
      </c>
      <c r="B8" s="46" t="s">
        <v>80</v>
      </c>
      <c r="C8" s="139"/>
      <c r="D8" s="168">
        <v>75</v>
      </c>
      <c r="E8" s="169"/>
      <c r="F8" s="101">
        <f t="shared" si="1"/>
        <v>1503.05</v>
      </c>
      <c r="G8" s="102" t="s">
        <v>25</v>
      </c>
      <c r="I8" s="97"/>
      <c r="J8" s="150">
        <f t="shared" si="0"/>
        <v>1</v>
      </c>
      <c r="K8" s="97">
        <f t="shared" ref="K8:K13" si="3">K7+(-D8+E8)*J8</f>
        <v>1503.05</v>
      </c>
      <c r="L8" s="97">
        <f t="shared" si="2"/>
        <v>0</v>
      </c>
    </row>
    <row r="9" spans="1:12" x14ac:dyDescent="0.25">
      <c r="A9" s="131">
        <v>43332</v>
      </c>
      <c r="B9" s="46" t="s">
        <v>92</v>
      </c>
      <c r="C9" s="139"/>
      <c r="D9" s="168"/>
      <c r="E9" s="169">
        <v>700</v>
      </c>
      <c r="F9" s="101">
        <f t="shared" si="1"/>
        <v>2203.0500000000002</v>
      </c>
      <c r="G9" s="102" t="s">
        <v>25</v>
      </c>
      <c r="J9" s="150">
        <f t="shared" si="0"/>
        <v>1</v>
      </c>
      <c r="K9" s="97">
        <f t="shared" si="3"/>
        <v>2203.0500000000002</v>
      </c>
      <c r="L9" s="97">
        <f t="shared" si="2"/>
        <v>0</v>
      </c>
    </row>
    <row r="10" spans="1:12" x14ac:dyDescent="0.25">
      <c r="A10" s="131">
        <v>43340</v>
      </c>
      <c r="B10" s="46" t="s">
        <v>89</v>
      </c>
      <c r="C10" s="139"/>
      <c r="D10" s="168">
        <v>156</v>
      </c>
      <c r="E10" s="169"/>
      <c r="F10" s="101">
        <f t="shared" si="1"/>
        <v>2047.0500000000002</v>
      </c>
      <c r="G10" s="102" t="s">
        <v>25</v>
      </c>
      <c r="J10" s="150">
        <f t="shared" si="0"/>
        <v>1</v>
      </c>
      <c r="K10" s="97">
        <f t="shared" si="3"/>
        <v>2047.0500000000002</v>
      </c>
      <c r="L10" s="97">
        <f t="shared" si="2"/>
        <v>0</v>
      </c>
    </row>
    <row r="11" spans="1:12" x14ac:dyDescent="0.25">
      <c r="A11" s="131">
        <v>43343</v>
      </c>
      <c r="B11" s="46" t="s">
        <v>88</v>
      </c>
      <c r="C11" s="139"/>
      <c r="D11" s="168"/>
      <c r="E11" s="145">
        <v>700</v>
      </c>
      <c r="F11" s="101">
        <f t="shared" si="1"/>
        <v>2747.05</v>
      </c>
      <c r="G11" s="102" t="s">
        <v>25</v>
      </c>
      <c r="J11" s="150">
        <f t="shared" si="0"/>
        <v>1</v>
      </c>
      <c r="K11" s="97">
        <f t="shared" si="3"/>
        <v>2747.05</v>
      </c>
      <c r="L11" s="97">
        <f t="shared" si="2"/>
        <v>0</v>
      </c>
    </row>
    <row r="12" spans="1:12" x14ac:dyDescent="0.25">
      <c r="A12" s="131">
        <v>43353</v>
      </c>
      <c r="B12" s="46" t="s">
        <v>79</v>
      </c>
      <c r="C12" s="139"/>
      <c r="D12" s="168"/>
      <c r="E12" s="145">
        <v>1300</v>
      </c>
      <c r="F12" s="101">
        <f t="shared" si="1"/>
        <v>4047.05</v>
      </c>
      <c r="G12" s="102" t="s">
        <v>25</v>
      </c>
      <c r="J12" s="150">
        <f t="shared" si="0"/>
        <v>1</v>
      </c>
      <c r="K12" s="97">
        <f t="shared" si="3"/>
        <v>4047.05</v>
      </c>
      <c r="L12" s="97">
        <f t="shared" si="2"/>
        <v>0</v>
      </c>
    </row>
    <row r="13" spans="1:12" x14ac:dyDescent="0.25">
      <c r="A13" s="131">
        <v>43361</v>
      </c>
      <c r="B13" s="46" t="s">
        <v>92</v>
      </c>
      <c r="C13" s="48"/>
      <c r="D13" s="168"/>
      <c r="E13" s="169">
        <v>700</v>
      </c>
      <c r="F13" s="101">
        <f t="shared" si="1"/>
        <v>4747.05</v>
      </c>
      <c r="G13" s="102" t="s">
        <v>25</v>
      </c>
      <c r="J13" s="150">
        <f t="shared" si="0"/>
        <v>1</v>
      </c>
      <c r="K13" s="97">
        <f t="shared" si="3"/>
        <v>4747.05</v>
      </c>
      <c r="L13" s="97">
        <f t="shared" si="2"/>
        <v>0</v>
      </c>
    </row>
    <row r="14" spans="1:12" s="164" customFormat="1" x14ac:dyDescent="0.25">
      <c r="A14" s="131">
        <v>44099</v>
      </c>
      <c r="B14" s="46" t="s">
        <v>93</v>
      </c>
      <c r="C14" s="48"/>
      <c r="D14" s="168">
        <v>535.94000000000005</v>
      </c>
      <c r="E14" s="169"/>
      <c r="F14" s="101">
        <f t="shared" si="1"/>
        <v>4211.1100000000006</v>
      </c>
      <c r="G14" s="102" t="s">
        <v>25</v>
      </c>
      <c r="J14" s="164">
        <f t="shared" ref="J14:J69" si="4">IF(G14="R",1,0)</f>
        <v>1</v>
      </c>
      <c r="K14" s="97">
        <f t="shared" ref="K14:K67" si="5">K13+(-D14+E14)*J14</f>
        <v>4211.1100000000006</v>
      </c>
      <c r="L14" s="97">
        <f t="shared" ref="L14:L67" si="6">K14-F14</f>
        <v>0</v>
      </c>
    </row>
    <row r="15" spans="1:12" x14ac:dyDescent="0.25">
      <c r="A15" s="131">
        <v>43368</v>
      </c>
      <c r="B15" s="46" t="s">
        <v>94</v>
      </c>
      <c r="C15" s="79"/>
      <c r="D15" s="169"/>
      <c r="E15" s="169">
        <v>570</v>
      </c>
      <c r="F15" s="101">
        <f t="shared" si="1"/>
        <v>4781.1100000000006</v>
      </c>
      <c r="G15" s="102" t="s">
        <v>25</v>
      </c>
      <c r="I15" s="97"/>
      <c r="J15" s="164">
        <f t="shared" si="4"/>
        <v>1</v>
      </c>
      <c r="K15" s="97">
        <f t="shared" si="5"/>
        <v>4781.1100000000006</v>
      </c>
      <c r="L15" s="97">
        <f t="shared" si="6"/>
        <v>0</v>
      </c>
    </row>
    <row r="16" spans="1:12" x14ac:dyDescent="0.25">
      <c r="A16" s="131">
        <v>43376</v>
      </c>
      <c r="B16" s="46" t="s">
        <v>88</v>
      </c>
      <c r="C16" s="139"/>
      <c r="D16" s="169"/>
      <c r="E16" s="169">
        <v>700</v>
      </c>
      <c r="F16" s="101">
        <f t="shared" si="1"/>
        <v>5481.1100000000006</v>
      </c>
      <c r="G16" s="102" t="s">
        <v>25</v>
      </c>
      <c r="J16" s="164">
        <f t="shared" si="4"/>
        <v>1</v>
      </c>
      <c r="K16" s="97">
        <f t="shared" si="5"/>
        <v>5481.1100000000006</v>
      </c>
      <c r="L16" s="97">
        <f t="shared" si="6"/>
        <v>0</v>
      </c>
    </row>
    <row r="17" spans="1:12" x14ac:dyDescent="0.25">
      <c r="A17" s="131">
        <v>43381</v>
      </c>
      <c r="B17" s="46" t="s">
        <v>79</v>
      </c>
      <c r="C17" s="139"/>
      <c r="D17" s="169"/>
      <c r="E17" s="169">
        <v>1300</v>
      </c>
      <c r="F17" s="101">
        <f t="shared" si="1"/>
        <v>6781.1100000000006</v>
      </c>
      <c r="G17" s="102" t="s">
        <v>25</v>
      </c>
      <c r="J17" s="164">
        <f t="shared" si="4"/>
        <v>1</v>
      </c>
      <c r="K17" s="97">
        <f t="shared" si="5"/>
        <v>6781.1100000000006</v>
      </c>
      <c r="L17" s="97">
        <f t="shared" si="6"/>
        <v>0</v>
      </c>
    </row>
    <row r="18" spans="1:12" x14ac:dyDescent="0.25">
      <c r="A18" s="149">
        <v>43384</v>
      </c>
      <c r="B18" s="17" t="s">
        <v>56</v>
      </c>
      <c r="C18" s="139"/>
      <c r="D18" s="169">
        <v>100</v>
      </c>
      <c r="E18" s="169"/>
      <c r="F18" s="101">
        <f t="shared" si="1"/>
        <v>6681.1100000000006</v>
      </c>
      <c r="G18" s="102" t="s">
        <v>25</v>
      </c>
      <c r="J18" s="164">
        <f t="shared" si="4"/>
        <v>1</v>
      </c>
      <c r="K18" s="97">
        <f t="shared" si="5"/>
        <v>6681.1100000000006</v>
      </c>
      <c r="L18" s="97">
        <f t="shared" si="6"/>
        <v>0</v>
      </c>
    </row>
    <row r="19" spans="1:12" x14ac:dyDescent="0.25">
      <c r="A19" s="131">
        <v>43391</v>
      </c>
      <c r="B19" s="46" t="s">
        <v>92</v>
      </c>
      <c r="C19" s="130"/>
      <c r="D19" s="169"/>
      <c r="E19" s="145">
        <v>700</v>
      </c>
      <c r="F19" s="101">
        <f t="shared" si="1"/>
        <v>7381.1100000000006</v>
      </c>
      <c r="G19" s="102" t="s">
        <v>25</v>
      </c>
      <c r="J19" s="164">
        <f t="shared" si="4"/>
        <v>1</v>
      </c>
      <c r="K19" s="97">
        <f t="shared" si="5"/>
        <v>7381.1100000000006</v>
      </c>
      <c r="L19" s="97">
        <f t="shared" si="6"/>
        <v>0</v>
      </c>
    </row>
    <row r="20" spans="1:12" x14ac:dyDescent="0.25">
      <c r="A20" s="131">
        <v>43399</v>
      </c>
      <c r="B20" s="46" t="s">
        <v>57</v>
      </c>
      <c r="C20" s="130"/>
      <c r="D20" s="169"/>
      <c r="E20" s="145">
        <v>100</v>
      </c>
      <c r="F20" s="101">
        <f t="shared" si="1"/>
        <v>7481.1100000000006</v>
      </c>
      <c r="G20" s="102" t="s">
        <v>25</v>
      </c>
      <c r="J20" s="164">
        <f t="shared" si="4"/>
        <v>1</v>
      </c>
      <c r="K20" s="97">
        <f t="shared" si="5"/>
        <v>7481.1100000000006</v>
      </c>
      <c r="L20" s="97">
        <f t="shared" si="6"/>
        <v>0</v>
      </c>
    </row>
    <row r="21" spans="1:12" x14ac:dyDescent="0.25">
      <c r="A21" s="131">
        <v>43404</v>
      </c>
      <c r="B21" s="46" t="s">
        <v>88</v>
      </c>
      <c r="C21" s="139"/>
      <c r="D21" s="145"/>
      <c r="E21" s="101">
        <v>700</v>
      </c>
      <c r="F21" s="101">
        <f t="shared" si="1"/>
        <v>8181.1100000000006</v>
      </c>
      <c r="G21" s="102" t="s">
        <v>25</v>
      </c>
      <c r="J21" s="164">
        <f t="shared" si="4"/>
        <v>1</v>
      </c>
      <c r="K21" s="97">
        <f t="shared" si="5"/>
        <v>8181.1100000000006</v>
      </c>
      <c r="L21" s="97">
        <f t="shared" si="6"/>
        <v>0</v>
      </c>
    </row>
    <row r="22" spans="1:12" x14ac:dyDescent="0.25">
      <c r="A22" s="131">
        <v>43411</v>
      </c>
      <c r="B22" s="141" t="s">
        <v>79</v>
      </c>
      <c r="C22" s="130"/>
      <c r="D22" s="170"/>
      <c r="E22" s="101">
        <v>1300</v>
      </c>
      <c r="F22" s="101">
        <f t="shared" si="1"/>
        <v>9481.11</v>
      </c>
      <c r="G22" s="102" t="s">
        <v>25</v>
      </c>
      <c r="I22" s="97"/>
      <c r="J22" s="164">
        <f t="shared" si="4"/>
        <v>1</v>
      </c>
      <c r="K22" s="97">
        <f t="shared" si="5"/>
        <v>9481.11</v>
      </c>
      <c r="L22" s="97">
        <f t="shared" si="6"/>
        <v>0</v>
      </c>
    </row>
    <row r="23" spans="1:12" x14ac:dyDescent="0.25">
      <c r="A23" s="131">
        <v>43423</v>
      </c>
      <c r="B23" s="141" t="s">
        <v>92</v>
      </c>
      <c r="C23" s="130"/>
      <c r="D23" s="170"/>
      <c r="E23" s="145">
        <v>700</v>
      </c>
      <c r="F23" s="101">
        <f t="shared" si="1"/>
        <v>10181.11</v>
      </c>
      <c r="G23" s="102" t="s">
        <v>25</v>
      </c>
      <c r="J23" s="164">
        <f t="shared" si="4"/>
        <v>1</v>
      </c>
      <c r="K23" s="97">
        <f t="shared" si="5"/>
        <v>10181.11</v>
      </c>
      <c r="L23" s="97">
        <f t="shared" si="6"/>
        <v>0</v>
      </c>
    </row>
    <row r="24" spans="1:12" x14ac:dyDescent="0.25">
      <c r="A24" s="131">
        <v>43425</v>
      </c>
      <c r="B24" s="141" t="s">
        <v>58</v>
      </c>
      <c r="C24" s="139"/>
      <c r="D24" s="168">
        <v>12.5</v>
      </c>
      <c r="E24" s="169"/>
      <c r="F24" s="101">
        <f t="shared" si="1"/>
        <v>10168.61</v>
      </c>
      <c r="G24" s="102" t="s">
        <v>25</v>
      </c>
      <c r="J24" s="164">
        <f t="shared" si="4"/>
        <v>1</v>
      </c>
      <c r="K24" s="97">
        <f t="shared" si="5"/>
        <v>10168.61</v>
      </c>
      <c r="L24" s="97">
        <f t="shared" si="6"/>
        <v>0</v>
      </c>
    </row>
    <row r="25" spans="1:12" x14ac:dyDescent="0.25">
      <c r="A25" s="131">
        <v>43432</v>
      </c>
      <c r="B25" s="141" t="s">
        <v>59</v>
      </c>
      <c r="C25" s="130"/>
      <c r="D25" s="170">
        <v>652.4</v>
      </c>
      <c r="E25" s="169"/>
      <c r="F25" s="101">
        <f t="shared" si="1"/>
        <v>9516.2100000000009</v>
      </c>
      <c r="G25" s="102" t="s">
        <v>25</v>
      </c>
      <c r="J25" s="164">
        <f t="shared" si="4"/>
        <v>1</v>
      </c>
      <c r="K25" s="97">
        <f t="shared" si="5"/>
        <v>9516.2100000000009</v>
      </c>
      <c r="L25" s="97">
        <f t="shared" si="6"/>
        <v>0</v>
      </c>
    </row>
    <row r="26" spans="1:12" x14ac:dyDescent="0.25">
      <c r="A26" s="131">
        <v>43435</v>
      </c>
      <c r="B26" s="141" t="s">
        <v>88</v>
      </c>
      <c r="C26" s="139"/>
      <c r="D26" s="170"/>
      <c r="E26" s="169">
        <v>700</v>
      </c>
      <c r="F26" s="101">
        <f t="shared" si="1"/>
        <v>10216.210000000001</v>
      </c>
      <c r="G26" s="102" t="s">
        <v>25</v>
      </c>
      <c r="J26" s="164">
        <f t="shared" si="4"/>
        <v>1</v>
      </c>
      <c r="K26" s="97">
        <f t="shared" si="5"/>
        <v>10216.210000000001</v>
      </c>
      <c r="L26" s="97">
        <f t="shared" si="6"/>
        <v>0</v>
      </c>
    </row>
    <row r="27" spans="1:12" x14ac:dyDescent="0.25">
      <c r="A27" s="131">
        <v>43441</v>
      </c>
      <c r="B27" s="141" t="s">
        <v>79</v>
      </c>
      <c r="C27" s="130"/>
      <c r="D27" s="170"/>
      <c r="E27" s="101">
        <v>1300</v>
      </c>
      <c r="F27" s="101">
        <f t="shared" si="1"/>
        <v>11516.210000000001</v>
      </c>
      <c r="G27" s="102" t="s">
        <v>25</v>
      </c>
      <c r="H27" s="123"/>
      <c r="J27" s="164">
        <f t="shared" si="4"/>
        <v>1</v>
      </c>
      <c r="K27" s="97">
        <f t="shared" si="5"/>
        <v>11516.210000000001</v>
      </c>
      <c r="L27" s="97">
        <f t="shared" si="6"/>
        <v>0</v>
      </c>
    </row>
    <row r="28" spans="1:12" x14ac:dyDescent="0.25">
      <c r="A28" s="131">
        <v>43452</v>
      </c>
      <c r="B28" s="141" t="s">
        <v>92</v>
      </c>
      <c r="C28" s="139"/>
      <c r="D28" s="170"/>
      <c r="E28" s="169">
        <v>700</v>
      </c>
      <c r="F28" s="101">
        <f t="shared" si="1"/>
        <v>12216.210000000001</v>
      </c>
      <c r="G28" s="102" t="s">
        <v>25</v>
      </c>
      <c r="H28" s="123"/>
      <c r="J28" s="164">
        <f t="shared" si="4"/>
        <v>1</v>
      </c>
      <c r="K28" s="97">
        <f t="shared" si="5"/>
        <v>12216.210000000001</v>
      </c>
      <c r="L28" s="97">
        <f t="shared" si="6"/>
        <v>0</v>
      </c>
    </row>
    <row r="29" spans="1:12" x14ac:dyDescent="0.25">
      <c r="A29" s="131">
        <v>43739</v>
      </c>
      <c r="B29" s="46" t="s">
        <v>88</v>
      </c>
      <c r="C29" s="130"/>
      <c r="D29" s="171"/>
      <c r="E29" s="169">
        <v>700</v>
      </c>
      <c r="F29" s="101">
        <f t="shared" si="1"/>
        <v>12916.210000000001</v>
      </c>
      <c r="G29" s="102" t="s">
        <v>25</v>
      </c>
      <c r="H29" s="123"/>
      <c r="I29" s="103"/>
      <c r="J29" s="164">
        <f t="shared" si="4"/>
        <v>1</v>
      </c>
      <c r="K29" s="97">
        <f t="shared" si="5"/>
        <v>12916.210000000001</v>
      </c>
      <c r="L29" s="97">
        <f t="shared" si="6"/>
        <v>0</v>
      </c>
    </row>
    <row r="30" spans="1:12" x14ac:dyDescent="0.25">
      <c r="A30" s="131">
        <v>43470</v>
      </c>
      <c r="B30" s="46" t="s">
        <v>90</v>
      </c>
      <c r="C30" s="139"/>
      <c r="D30" s="168">
        <v>60</v>
      </c>
      <c r="E30" s="169"/>
      <c r="F30" s="101">
        <f t="shared" si="1"/>
        <v>12856.210000000001</v>
      </c>
      <c r="G30" s="102" t="s">
        <v>25</v>
      </c>
      <c r="H30" s="123"/>
      <c r="J30" s="164">
        <f t="shared" si="4"/>
        <v>1</v>
      </c>
      <c r="K30" s="97">
        <f t="shared" si="5"/>
        <v>12856.210000000001</v>
      </c>
      <c r="L30" s="97">
        <f t="shared" si="6"/>
        <v>0</v>
      </c>
    </row>
    <row r="31" spans="1:12" x14ac:dyDescent="0.25">
      <c r="A31" s="131">
        <v>43472</v>
      </c>
      <c r="B31" s="129" t="s">
        <v>79</v>
      </c>
      <c r="C31" s="139"/>
      <c r="D31" s="169"/>
      <c r="E31" s="169">
        <v>1300</v>
      </c>
      <c r="F31" s="101">
        <f t="shared" si="1"/>
        <v>14156.210000000001</v>
      </c>
      <c r="G31" s="102" t="s">
        <v>25</v>
      </c>
      <c r="H31" s="123"/>
      <c r="J31" s="164">
        <f t="shared" si="4"/>
        <v>1</v>
      </c>
      <c r="K31" s="97">
        <f t="shared" si="5"/>
        <v>14156.210000000001</v>
      </c>
      <c r="L31" s="97">
        <f t="shared" si="6"/>
        <v>0</v>
      </c>
    </row>
    <row r="32" spans="1:12" x14ac:dyDescent="0.25">
      <c r="A32" s="131">
        <v>43483</v>
      </c>
      <c r="B32" s="141" t="s">
        <v>92</v>
      </c>
      <c r="C32" s="139"/>
      <c r="D32" s="168"/>
      <c r="E32" s="169">
        <v>700</v>
      </c>
      <c r="F32" s="101">
        <f t="shared" si="1"/>
        <v>14856.210000000001</v>
      </c>
      <c r="G32" s="102" t="s">
        <v>25</v>
      </c>
      <c r="H32" s="123"/>
      <c r="J32" s="164">
        <f t="shared" si="4"/>
        <v>1</v>
      </c>
      <c r="K32" s="97">
        <f t="shared" si="5"/>
        <v>14856.210000000001</v>
      </c>
      <c r="L32" s="97">
        <f t="shared" si="6"/>
        <v>0</v>
      </c>
    </row>
    <row r="33" spans="1:12" x14ac:dyDescent="0.25">
      <c r="A33" s="131">
        <v>43493</v>
      </c>
      <c r="B33" s="46" t="s">
        <v>88</v>
      </c>
      <c r="C33" s="139"/>
      <c r="D33" s="168"/>
      <c r="E33" s="168">
        <v>700</v>
      </c>
      <c r="F33" s="101">
        <f t="shared" si="1"/>
        <v>15556.210000000001</v>
      </c>
      <c r="G33" s="102" t="s">
        <v>25</v>
      </c>
      <c r="H33" s="123"/>
      <c r="J33" s="164">
        <f t="shared" si="4"/>
        <v>1</v>
      </c>
      <c r="K33" s="97">
        <f t="shared" si="5"/>
        <v>15556.210000000001</v>
      </c>
      <c r="L33" s="97">
        <f t="shared" si="6"/>
        <v>0</v>
      </c>
    </row>
    <row r="34" spans="1:12" x14ac:dyDescent="0.25">
      <c r="A34" s="131">
        <v>43503</v>
      </c>
      <c r="B34" s="46" t="s">
        <v>81</v>
      </c>
      <c r="C34" s="139"/>
      <c r="D34" s="168">
        <v>34.99</v>
      </c>
      <c r="E34" s="168"/>
      <c r="F34" s="101">
        <f t="shared" si="1"/>
        <v>15521.220000000001</v>
      </c>
      <c r="G34" s="102" t="s">
        <v>25</v>
      </c>
      <c r="J34" s="164">
        <f t="shared" si="4"/>
        <v>1</v>
      </c>
      <c r="K34" s="97">
        <f t="shared" si="5"/>
        <v>15521.220000000001</v>
      </c>
      <c r="L34" s="97">
        <f t="shared" si="6"/>
        <v>0</v>
      </c>
    </row>
    <row r="35" spans="1:12" x14ac:dyDescent="0.25">
      <c r="A35" s="131">
        <v>43503</v>
      </c>
      <c r="B35" s="46" t="s">
        <v>79</v>
      </c>
      <c r="C35" s="130"/>
      <c r="D35" s="168"/>
      <c r="E35" s="168">
        <v>1300</v>
      </c>
      <c r="F35" s="101">
        <f t="shared" si="1"/>
        <v>16821.22</v>
      </c>
      <c r="G35" s="102" t="s">
        <v>25</v>
      </c>
      <c r="J35" s="164">
        <f t="shared" si="4"/>
        <v>1</v>
      </c>
      <c r="K35" s="97">
        <f t="shared" si="5"/>
        <v>16821.22</v>
      </c>
      <c r="L35" s="97">
        <f t="shared" si="6"/>
        <v>0</v>
      </c>
    </row>
    <row r="36" spans="1:12" x14ac:dyDescent="0.25">
      <c r="A36" s="131">
        <v>43507</v>
      </c>
      <c r="B36" s="159" t="s">
        <v>82</v>
      </c>
      <c r="C36" s="139"/>
      <c r="D36" s="168">
        <v>532.79999999999995</v>
      </c>
      <c r="E36" s="168"/>
      <c r="F36" s="101">
        <f t="shared" si="1"/>
        <v>16288.420000000002</v>
      </c>
      <c r="G36" s="102" t="s">
        <v>25</v>
      </c>
      <c r="J36" s="164">
        <f t="shared" si="4"/>
        <v>1</v>
      </c>
      <c r="K36" s="97">
        <f t="shared" si="5"/>
        <v>16288.420000000002</v>
      </c>
      <c r="L36" s="97">
        <f t="shared" si="6"/>
        <v>0</v>
      </c>
    </row>
    <row r="37" spans="1:12" x14ac:dyDescent="0.25">
      <c r="A37" s="157">
        <v>43514</v>
      </c>
      <c r="B37" s="124" t="s">
        <v>92</v>
      </c>
      <c r="C37" s="158"/>
      <c r="D37" s="172"/>
      <c r="E37" s="168">
        <v>700</v>
      </c>
      <c r="F37" s="101">
        <f t="shared" si="1"/>
        <v>16988.420000000002</v>
      </c>
      <c r="G37" s="102" t="s">
        <v>25</v>
      </c>
      <c r="J37" s="164">
        <f t="shared" si="4"/>
        <v>1</v>
      </c>
      <c r="K37" s="97">
        <f t="shared" si="5"/>
        <v>16988.420000000002</v>
      </c>
      <c r="L37" s="97">
        <f t="shared" si="6"/>
        <v>0</v>
      </c>
    </row>
    <row r="38" spans="1:12" x14ac:dyDescent="0.25">
      <c r="A38" s="127">
        <v>43523</v>
      </c>
      <c r="B38" s="124" t="s">
        <v>83</v>
      </c>
      <c r="C38" s="125"/>
      <c r="D38" s="173">
        <v>158.02000000000001</v>
      </c>
      <c r="E38" s="155"/>
      <c r="F38" s="101">
        <f t="shared" si="1"/>
        <v>16830.400000000001</v>
      </c>
      <c r="G38" s="102" t="s">
        <v>25</v>
      </c>
      <c r="J38" s="164">
        <f t="shared" si="4"/>
        <v>1</v>
      </c>
      <c r="K38" s="97">
        <f t="shared" si="5"/>
        <v>16830.400000000001</v>
      </c>
      <c r="L38" s="97">
        <f t="shared" si="6"/>
        <v>0</v>
      </c>
    </row>
    <row r="39" spans="1:12" x14ac:dyDescent="0.25">
      <c r="A39" s="127">
        <v>43523</v>
      </c>
      <c r="B39" s="124" t="s">
        <v>84</v>
      </c>
      <c r="C39" s="125"/>
      <c r="D39" s="173">
        <v>25</v>
      </c>
      <c r="E39" s="155"/>
      <c r="F39" s="101">
        <f t="shared" si="1"/>
        <v>16805.400000000001</v>
      </c>
      <c r="G39" s="102" t="s">
        <v>25</v>
      </c>
      <c r="J39" s="164">
        <f t="shared" si="4"/>
        <v>1</v>
      </c>
      <c r="K39" s="97">
        <f t="shared" si="5"/>
        <v>16805.400000000001</v>
      </c>
      <c r="L39" s="97">
        <f t="shared" si="6"/>
        <v>0</v>
      </c>
    </row>
    <row r="40" spans="1:12" x14ac:dyDescent="0.25">
      <c r="A40" s="127">
        <v>43524</v>
      </c>
      <c r="B40" s="124" t="s">
        <v>88</v>
      </c>
      <c r="C40" s="125"/>
      <c r="D40" s="173"/>
      <c r="E40" s="155">
        <v>700</v>
      </c>
      <c r="F40" s="101">
        <f t="shared" si="1"/>
        <v>17505.400000000001</v>
      </c>
      <c r="G40" s="102" t="s">
        <v>25</v>
      </c>
      <c r="J40" s="164">
        <f t="shared" si="4"/>
        <v>1</v>
      </c>
      <c r="K40" s="97">
        <f t="shared" si="5"/>
        <v>17505.400000000001</v>
      </c>
      <c r="L40" s="97">
        <f t="shared" si="6"/>
        <v>0</v>
      </c>
    </row>
    <row r="41" spans="1:12" x14ac:dyDescent="0.25">
      <c r="A41" s="127">
        <v>43532</v>
      </c>
      <c r="B41" s="124" t="s">
        <v>79</v>
      </c>
      <c r="C41" s="128"/>
      <c r="D41" s="173"/>
      <c r="E41" s="155">
        <v>1300</v>
      </c>
      <c r="F41" s="101">
        <f t="shared" si="1"/>
        <v>18805.400000000001</v>
      </c>
      <c r="G41" s="102" t="s">
        <v>25</v>
      </c>
      <c r="J41" s="164">
        <f t="shared" si="4"/>
        <v>1</v>
      </c>
      <c r="K41" s="97">
        <f t="shared" si="5"/>
        <v>18805.400000000001</v>
      </c>
      <c r="L41" s="97">
        <f t="shared" si="6"/>
        <v>0</v>
      </c>
    </row>
    <row r="42" spans="1:12" x14ac:dyDescent="0.25">
      <c r="A42" s="127">
        <v>43542</v>
      </c>
      <c r="B42" s="124" t="s">
        <v>92</v>
      </c>
      <c r="C42" s="125"/>
      <c r="D42" s="173"/>
      <c r="E42" s="155">
        <v>700</v>
      </c>
      <c r="F42" s="101">
        <f t="shared" si="1"/>
        <v>19505.400000000001</v>
      </c>
      <c r="G42" s="102" t="s">
        <v>25</v>
      </c>
      <c r="J42" s="164">
        <f t="shared" si="4"/>
        <v>1</v>
      </c>
      <c r="K42" s="97">
        <f t="shared" si="5"/>
        <v>19505.400000000001</v>
      </c>
      <c r="L42" s="97">
        <f t="shared" si="6"/>
        <v>0</v>
      </c>
    </row>
    <row r="43" spans="1:12" x14ac:dyDescent="0.25">
      <c r="A43" s="95">
        <v>43556</v>
      </c>
      <c r="B43" s="86" t="s">
        <v>85</v>
      </c>
      <c r="C43" s="96"/>
      <c r="D43" s="174">
        <v>51.98</v>
      </c>
      <c r="E43" s="101"/>
      <c r="F43" s="101">
        <f t="shared" si="1"/>
        <v>19453.420000000002</v>
      </c>
      <c r="G43" s="102" t="s">
        <v>25</v>
      </c>
      <c r="J43" s="164">
        <f t="shared" si="4"/>
        <v>1</v>
      </c>
      <c r="K43" s="97">
        <f t="shared" si="5"/>
        <v>19453.420000000002</v>
      </c>
      <c r="L43" s="97">
        <f t="shared" si="6"/>
        <v>0</v>
      </c>
    </row>
    <row r="44" spans="1:12" x14ac:dyDescent="0.25">
      <c r="A44" s="131">
        <v>43556</v>
      </c>
      <c r="B44" s="46" t="s">
        <v>88</v>
      </c>
      <c r="C44" s="139"/>
      <c r="D44" s="168"/>
      <c r="E44" s="101">
        <v>700</v>
      </c>
      <c r="F44" s="101">
        <f t="shared" si="1"/>
        <v>20153.420000000002</v>
      </c>
      <c r="G44" s="102" t="s">
        <v>25</v>
      </c>
      <c r="J44" s="164">
        <f t="shared" si="4"/>
        <v>1</v>
      </c>
      <c r="K44" s="97">
        <f t="shared" si="5"/>
        <v>20153.420000000002</v>
      </c>
      <c r="L44" s="97">
        <f t="shared" si="6"/>
        <v>0</v>
      </c>
    </row>
    <row r="45" spans="1:12" x14ac:dyDescent="0.25">
      <c r="A45" s="131">
        <v>43563</v>
      </c>
      <c r="B45" s="46" t="s">
        <v>79</v>
      </c>
      <c r="C45" s="139"/>
      <c r="D45" s="168"/>
      <c r="E45" s="101">
        <v>1300</v>
      </c>
      <c r="F45" s="101">
        <f t="shared" si="1"/>
        <v>21453.420000000002</v>
      </c>
      <c r="G45" s="102" t="s">
        <v>25</v>
      </c>
      <c r="J45" s="164">
        <f t="shared" si="4"/>
        <v>1</v>
      </c>
      <c r="K45" s="97">
        <f t="shared" si="5"/>
        <v>21453.420000000002</v>
      </c>
      <c r="L45" s="97">
        <f t="shared" si="6"/>
        <v>0</v>
      </c>
    </row>
    <row r="46" spans="1:12" x14ac:dyDescent="0.25">
      <c r="A46" s="131">
        <v>43573</v>
      </c>
      <c r="B46" s="148" t="s">
        <v>92</v>
      </c>
      <c r="C46" s="139"/>
      <c r="D46" s="168"/>
      <c r="E46" s="101">
        <v>700</v>
      </c>
      <c r="F46" s="101">
        <f t="shared" si="1"/>
        <v>22153.420000000002</v>
      </c>
      <c r="G46" s="102" t="s">
        <v>25</v>
      </c>
      <c r="J46" s="164">
        <f t="shared" si="4"/>
        <v>1</v>
      </c>
      <c r="K46" s="97">
        <f t="shared" si="5"/>
        <v>22153.420000000002</v>
      </c>
      <c r="L46" s="97">
        <f t="shared" si="6"/>
        <v>0</v>
      </c>
    </row>
    <row r="47" spans="1:12" x14ac:dyDescent="0.25">
      <c r="A47" s="131">
        <v>43584</v>
      </c>
      <c r="B47" s="86" t="s">
        <v>85</v>
      </c>
      <c r="C47" s="139"/>
      <c r="D47" s="168">
        <v>51.98</v>
      </c>
      <c r="E47" s="101"/>
      <c r="F47" s="101">
        <f t="shared" si="1"/>
        <v>22101.440000000002</v>
      </c>
      <c r="G47" s="102" t="s">
        <v>25</v>
      </c>
      <c r="J47" s="164">
        <f t="shared" si="4"/>
        <v>1</v>
      </c>
      <c r="K47" s="97">
        <f t="shared" si="5"/>
        <v>22101.440000000002</v>
      </c>
      <c r="L47" s="97">
        <f t="shared" si="6"/>
        <v>0</v>
      </c>
    </row>
    <row r="48" spans="1:12" x14ac:dyDescent="0.25">
      <c r="A48" s="131">
        <v>43586</v>
      </c>
      <c r="B48" s="46" t="s">
        <v>88</v>
      </c>
      <c r="C48" s="139"/>
      <c r="D48" s="168"/>
      <c r="E48" s="101">
        <v>700</v>
      </c>
      <c r="F48" s="101">
        <f t="shared" si="1"/>
        <v>22801.440000000002</v>
      </c>
      <c r="G48" s="102" t="s">
        <v>25</v>
      </c>
      <c r="J48" s="164">
        <f t="shared" si="4"/>
        <v>1</v>
      </c>
      <c r="K48" s="97">
        <f t="shared" si="5"/>
        <v>22801.440000000002</v>
      </c>
      <c r="L48" s="97">
        <f t="shared" si="6"/>
        <v>0</v>
      </c>
    </row>
    <row r="49" spans="1:12" x14ac:dyDescent="0.25">
      <c r="A49" s="131">
        <v>43592</v>
      </c>
      <c r="B49" s="46" t="s">
        <v>79</v>
      </c>
      <c r="C49" s="139"/>
      <c r="D49" s="168"/>
      <c r="E49" s="101">
        <v>1300</v>
      </c>
      <c r="F49" s="101">
        <f t="shared" si="1"/>
        <v>24101.440000000002</v>
      </c>
      <c r="G49" s="102" t="s">
        <v>25</v>
      </c>
      <c r="J49" s="164">
        <f t="shared" si="4"/>
        <v>1</v>
      </c>
      <c r="K49" s="97">
        <f t="shared" si="5"/>
        <v>24101.440000000002</v>
      </c>
      <c r="L49" s="97">
        <f t="shared" si="6"/>
        <v>0</v>
      </c>
    </row>
    <row r="50" spans="1:12" x14ac:dyDescent="0.25">
      <c r="A50" s="131">
        <v>43605</v>
      </c>
      <c r="B50" s="46" t="s">
        <v>84</v>
      </c>
      <c r="C50" s="139"/>
      <c r="D50" s="168">
        <v>12.5</v>
      </c>
      <c r="E50" s="101"/>
      <c r="F50" s="101">
        <f t="shared" si="1"/>
        <v>24088.940000000002</v>
      </c>
      <c r="G50" s="102" t="s">
        <v>25</v>
      </c>
      <c r="J50" s="164">
        <f t="shared" si="4"/>
        <v>1</v>
      </c>
      <c r="K50" s="97">
        <f t="shared" si="5"/>
        <v>24088.940000000002</v>
      </c>
      <c r="L50" s="97">
        <f t="shared" si="6"/>
        <v>0</v>
      </c>
    </row>
    <row r="51" spans="1:12" x14ac:dyDescent="0.25">
      <c r="A51" s="131">
        <v>43605</v>
      </c>
      <c r="B51" s="144" t="s">
        <v>92</v>
      </c>
      <c r="C51" s="139"/>
      <c r="D51" s="168"/>
      <c r="E51" s="101">
        <v>700</v>
      </c>
      <c r="F51" s="101">
        <f t="shared" si="1"/>
        <v>24788.940000000002</v>
      </c>
      <c r="G51" s="102" t="s">
        <v>25</v>
      </c>
      <c r="J51" s="164">
        <f t="shared" si="4"/>
        <v>1</v>
      </c>
      <c r="K51" s="97">
        <f t="shared" si="5"/>
        <v>24788.940000000002</v>
      </c>
      <c r="L51" s="97">
        <f t="shared" si="6"/>
        <v>0</v>
      </c>
    </row>
    <row r="52" spans="1:12" s="164" customFormat="1" x14ac:dyDescent="0.25">
      <c r="A52" s="131">
        <v>43613</v>
      </c>
      <c r="B52" s="144" t="s">
        <v>85</v>
      </c>
      <c r="C52" s="139"/>
      <c r="D52" s="168">
        <v>51.98</v>
      </c>
      <c r="E52" s="101"/>
      <c r="F52" s="101">
        <f t="shared" si="1"/>
        <v>24736.960000000003</v>
      </c>
      <c r="G52" s="102" t="s">
        <v>25</v>
      </c>
      <c r="J52" s="164">
        <f t="shared" si="4"/>
        <v>1</v>
      </c>
      <c r="K52" s="97">
        <f t="shared" si="5"/>
        <v>24736.960000000003</v>
      </c>
      <c r="L52" s="97">
        <f t="shared" si="6"/>
        <v>0</v>
      </c>
    </row>
    <row r="53" spans="1:12" s="164" customFormat="1" x14ac:dyDescent="0.25">
      <c r="A53" s="131">
        <v>43613</v>
      </c>
      <c r="B53" s="144" t="s">
        <v>88</v>
      </c>
      <c r="C53" s="139"/>
      <c r="D53" s="168"/>
      <c r="E53" s="101">
        <v>700</v>
      </c>
      <c r="F53" s="101">
        <f t="shared" si="1"/>
        <v>25436.960000000003</v>
      </c>
      <c r="G53" s="102" t="s">
        <v>25</v>
      </c>
      <c r="J53" s="164">
        <f t="shared" si="4"/>
        <v>1</v>
      </c>
      <c r="K53" s="97">
        <f t="shared" si="5"/>
        <v>25436.960000000003</v>
      </c>
      <c r="L53" s="97">
        <f t="shared" si="6"/>
        <v>0</v>
      </c>
    </row>
    <row r="54" spans="1:12" s="164" customFormat="1" x14ac:dyDescent="0.25">
      <c r="A54" s="131">
        <v>43614</v>
      </c>
      <c r="B54" s="144" t="s">
        <v>84</v>
      </c>
      <c r="C54" s="139"/>
      <c r="D54" s="168">
        <v>12.5</v>
      </c>
      <c r="E54" s="101"/>
      <c r="F54" s="101">
        <f t="shared" si="1"/>
        <v>25424.460000000003</v>
      </c>
      <c r="G54" s="102" t="s">
        <v>25</v>
      </c>
      <c r="J54" s="164">
        <f t="shared" si="4"/>
        <v>1</v>
      </c>
      <c r="K54" s="97">
        <f t="shared" si="5"/>
        <v>25424.460000000003</v>
      </c>
      <c r="L54" s="97">
        <f t="shared" si="6"/>
        <v>0</v>
      </c>
    </row>
    <row r="55" spans="1:12" s="164" customFormat="1" x14ac:dyDescent="0.25">
      <c r="A55" s="131">
        <v>43614</v>
      </c>
      <c r="B55" s="144" t="s">
        <v>86</v>
      </c>
      <c r="C55" s="139"/>
      <c r="D55" s="168">
        <v>684.95</v>
      </c>
      <c r="E55" s="101"/>
      <c r="F55" s="101">
        <f t="shared" si="1"/>
        <v>24739.510000000002</v>
      </c>
      <c r="G55" s="102" t="s">
        <v>25</v>
      </c>
      <c r="J55" s="164">
        <f t="shared" si="4"/>
        <v>1</v>
      </c>
      <c r="K55" s="97">
        <f t="shared" si="5"/>
        <v>24739.510000000002</v>
      </c>
      <c r="L55" s="97">
        <f t="shared" si="6"/>
        <v>0</v>
      </c>
    </row>
    <row r="56" spans="1:12" s="164" customFormat="1" x14ac:dyDescent="0.25">
      <c r="A56" s="131">
        <v>43623</v>
      </c>
      <c r="B56" s="144" t="s">
        <v>80</v>
      </c>
      <c r="C56" s="139"/>
      <c r="D56" s="168">
        <v>75</v>
      </c>
      <c r="E56" s="101"/>
      <c r="F56" s="101">
        <f t="shared" si="1"/>
        <v>24664.510000000002</v>
      </c>
      <c r="G56" s="102" t="s">
        <v>25</v>
      </c>
      <c r="J56" s="164">
        <f t="shared" si="4"/>
        <v>1</v>
      </c>
      <c r="K56" s="97">
        <f t="shared" si="5"/>
        <v>24664.510000000002</v>
      </c>
      <c r="L56" s="97">
        <f t="shared" si="6"/>
        <v>0</v>
      </c>
    </row>
    <row r="57" spans="1:12" x14ac:dyDescent="0.25">
      <c r="A57" s="131">
        <v>43626</v>
      </c>
      <c r="B57" s="46" t="s">
        <v>93</v>
      </c>
      <c r="C57" s="130"/>
      <c r="D57" s="168">
        <v>652.4</v>
      </c>
      <c r="E57" s="101"/>
      <c r="F57" s="101">
        <f t="shared" si="1"/>
        <v>24012.11</v>
      </c>
      <c r="G57" s="102" t="s">
        <v>25</v>
      </c>
      <c r="J57" s="164">
        <f t="shared" si="4"/>
        <v>1</v>
      </c>
      <c r="K57" s="97">
        <f t="shared" si="5"/>
        <v>24012.11</v>
      </c>
      <c r="L57" s="97">
        <f t="shared" si="6"/>
        <v>0</v>
      </c>
    </row>
    <row r="58" spans="1:12" x14ac:dyDescent="0.25">
      <c r="A58" s="90">
        <v>43626</v>
      </c>
      <c r="B58" s="46" t="s">
        <v>79</v>
      </c>
      <c r="C58" s="89"/>
      <c r="D58" s="101"/>
      <c r="E58" s="101">
        <v>1300</v>
      </c>
      <c r="F58" s="101">
        <f t="shared" si="1"/>
        <v>25312.11</v>
      </c>
      <c r="G58" s="102" t="s">
        <v>25</v>
      </c>
      <c r="J58" s="164">
        <f t="shared" si="4"/>
        <v>1</v>
      </c>
      <c r="K58" s="97">
        <f t="shared" si="5"/>
        <v>25312.11</v>
      </c>
      <c r="L58" s="97">
        <f t="shared" si="6"/>
        <v>0</v>
      </c>
    </row>
    <row r="59" spans="1:12" s="164" customFormat="1" x14ac:dyDescent="0.25">
      <c r="A59" s="131">
        <v>43634</v>
      </c>
      <c r="B59" s="46" t="s">
        <v>92</v>
      </c>
      <c r="C59" s="130"/>
      <c r="D59" s="101"/>
      <c r="E59" s="101">
        <v>700</v>
      </c>
      <c r="F59" s="101">
        <f t="shared" si="1"/>
        <v>26012.11</v>
      </c>
      <c r="G59" s="102" t="s">
        <v>25</v>
      </c>
      <c r="J59" s="164">
        <f t="shared" si="4"/>
        <v>1</v>
      </c>
      <c r="K59" s="97">
        <f t="shared" si="5"/>
        <v>26012.11</v>
      </c>
      <c r="L59" s="97">
        <f t="shared" si="6"/>
        <v>0</v>
      </c>
    </row>
    <row r="60" spans="1:12" s="164" customFormat="1" x14ac:dyDescent="0.25">
      <c r="A60" s="131">
        <v>43643</v>
      </c>
      <c r="B60" s="46" t="s">
        <v>60</v>
      </c>
      <c r="C60" s="130"/>
      <c r="D60" s="101">
        <v>13</v>
      </c>
      <c r="E60" s="101"/>
      <c r="F60" s="101">
        <f t="shared" si="1"/>
        <v>25999.11</v>
      </c>
      <c r="G60" s="102" t="s">
        <v>25</v>
      </c>
      <c r="J60" s="164">
        <f t="shared" si="4"/>
        <v>1</v>
      </c>
      <c r="K60" s="97">
        <f t="shared" si="5"/>
        <v>25999.11</v>
      </c>
      <c r="L60" s="97">
        <f t="shared" si="6"/>
        <v>0</v>
      </c>
    </row>
    <row r="61" spans="1:12" s="164" customFormat="1" x14ac:dyDescent="0.25">
      <c r="A61" s="131">
        <v>43644</v>
      </c>
      <c r="B61" s="144" t="s">
        <v>85</v>
      </c>
      <c r="C61" s="130"/>
      <c r="D61" s="101">
        <v>51.98</v>
      </c>
      <c r="E61" s="101"/>
      <c r="F61" s="101">
        <f t="shared" si="1"/>
        <v>25947.13</v>
      </c>
      <c r="G61" s="102" t="s">
        <v>25</v>
      </c>
      <c r="J61" s="164">
        <f t="shared" si="4"/>
        <v>1</v>
      </c>
      <c r="K61" s="97">
        <f t="shared" si="5"/>
        <v>25947.13</v>
      </c>
      <c r="L61" s="97">
        <f t="shared" si="6"/>
        <v>0</v>
      </c>
    </row>
    <row r="62" spans="1:12" s="164" customFormat="1" x14ac:dyDescent="0.25">
      <c r="A62" s="131">
        <v>43647</v>
      </c>
      <c r="B62" s="46" t="s">
        <v>88</v>
      </c>
      <c r="C62" s="130"/>
      <c r="D62" s="101"/>
      <c r="E62" s="101">
        <v>700</v>
      </c>
      <c r="F62" s="101">
        <f t="shared" si="1"/>
        <v>26647.13</v>
      </c>
      <c r="G62" s="102" t="s">
        <v>25</v>
      </c>
      <c r="J62" s="164">
        <f t="shared" si="4"/>
        <v>1</v>
      </c>
      <c r="K62" s="97">
        <f t="shared" si="5"/>
        <v>26647.13</v>
      </c>
      <c r="L62" s="97">
        <f t="shared" si="6"/>
        <v>0</v>
      </c>
    </row>
    <row r="63" spans="1:12" s="164" customFormat="1" x14ac:dyDescent="0.25">
      <c r="A63" s="131">
        <v>44014</v>
      </c>
      <c r="B63" s="46" t="s">
        <v>97</v>
      </c>
      <c r="C63" s="130"/>
      <c r="D63" s="101">
        <v>25</v>
      </c>
      <c r="E63" s="101"/>
      <c r="F63" s="101">
        <f t="shared" si="1"/>
        <v>26622.13</v>
      </c>
      <c r="G63" s="102" t="s">
        <v>25</v>
      </c>
      <c r="J63" s="164">
        <f t="shared" si="4"/>
        <v>1</v>
      </c>
      <c r="K63" s="97">
        <f t="shared" si="5"/>
        <v>26622.13</v>
      </c>
      <c r="L63" s="97">
        <f t="shared" si="6"/>
        <v>0</v>
      </c>
    </row>
    <row r="64" spans="1:12" s="164" customFormat="1" x14ac:dyDescent="0.25">
      <c r="A64" s="131">
        <v>43650</v>
      </c>
      <c r="B64" s="46" t="s">
        <v>97</v>
      </c>
      <c r="C64" s="130"/>
      <c r="D64" s="101">
        <v>120.21</v>
      </c>
      <c r="E64" s="101"/>
      <c r="F64" s="101">
        <f t="shared" si="1"/>
        <v>26501.920000000002</v>
      </c>
      <c r="G64" s="102" t="s">
        <v>25</v>
      </c>
      <c r="J64" s="164">
        <f t="shared" si="4"/>
        <v>1</v>
      </c>
      <c r="K64" s="97">
        <f t="shared" si="5"/>
        <v>26501.920000000002</v>
      </c>
      <c r="L64" s="97">
        <f t="shared" si="6"/>
        <v>0</v>
      </c>
    </row>
    <row r="65" spans="1:12" s="164" customFormat="1" x14ac:dyDescent="0.25">
      <c r="A65" s="131">
        <v>43654</v>
      </c>
      <c r="B65" s="46" t="s">
        <v>79</v>
      </c>
      <c r="C65" s="130"/>
      <c r="D65" s="101"/>
      <c r="E65" s="101">
        <v>1300</v>
      </c>
      <c r="F65" s="101">
        <f t="shared" si="1"/>
        <v>27801.920000000002</v>
      </c>
      <c r="G65" s="102" t="s">
        <v>25</v>
      </c>
      <c r="J65" s="164">
        <f t="shared" si="4"/>
        <v>1</v>
      </c>
      <c r="K65" s="97">
        <f t="shared" si="5"/>
        <v>27801.920000000002</v>
      </c>
      <c r="L65" s="97">
        <f t="shared" si="6"/>
        <v>0</v>
      </c>
    </row>
    <row r="66" spans="1:12" s="164" customFormat="1" x14ac:dyDescent="0.25">
      <c r="A66" s="131">
        <v>43664</v>
      </c>
      <c r="B66" s="46" t="s">
        <v>92</v>
      </c>
      <c r="C66" s="130"/>
      <c r="D66" s="101"/>
      <c r="E66" s="101">
        <v>700</v>
      </c>
      <c r="F66" s="101">
        <f t="shared" si="1"/>
        <v>28501.920000000002</v>
      </c>
      <c r="G66" s="102" t="s">
        <v>25</v>
      </c>
      <c r="J66" s="164">
        <f t="shared" si="4"/>
        <v>1</v>
      </c>
      <c r="K66" s="97">
        <f t="shared" si="5"/>
        <v>28501.920000000002</v>
      </c>
      <c r="L66" s="97">
        <f t="shared" si="6"/>
        <v>0</v>
      </c>
    </row>
    <row r="67" spans="1:12" s="164" customFormat="1" x14ac:dyDescent="0.25">
      <c r="A67" s="131">
        <v>43675</v>
      </c>
      <c r="B67" s="144" t="s">
        <v>85</v>
      </c>
      <c r="C67" s="130"/>
      <c r="D67" s="101">
        <v>51.98</v>
      </c>
      <c r="E67" s="101"/>
      <c r="F67" s="101">
        <f t="shared" si="1"/>
        <v>28449.940000000002</v>
      </c>
      <c r="G67" s="102" t="s">
        <v>25</v>
      </c>
      <c r="J67" s="164">
        <f t="shared" si="4"/>
        <v>1</v>
      </c>
      <c r="K67" s="97">
        <f t="shared" si="5"/>
        <v>28449.940000000002</v>
      </c>
      <c r="L67" s="97">
        <f t="shared" si="6"/>
        <v>0</v>
      </c>
    </row>
    <row r="68" spans="1:12" x14ac:dyDescent="0.25">
      <c r="A68" s="131"/>
      <c r="B68" s="46"/>
      <c r="C68" s="130"/>
      <c r="D68" s="168"/>
      <c r="E68" s="101"/>
      <c r="F68" s="101">
        <f t="shared" si="1"/>
        <v>28449.940000000002</v>
      </c>
      <c r="G68" s="66"/>
      <c r="J68" s="164">
        <f t="shared" si="4"/>
        <v>0</v>
      </c>
      <c r="K68" s="97">
        <f t="shared" ref="K68:K69" si="7">K67+(-D68+E68)*J68</f>
        <v>28449.940000000002</v>
      </c>
      <c r="L68" s="97">
        <f t="shared" ref="L68:L69" si="8">K68-F68</f>
        <v>0</v>
      </c>
    </row>
    <row r="69" spans="1:12" x14ac:dyDescent="0.25">
      <c r="A69" s="90"/>
      <c r="B69" s="46"/>
      <c r="C69" s="89"/>
      <c r="D69" s="101"/>
      <c r="E69" s="101"/>
      <c r="F69" s="101">
        <f t="shared" si="1"/>
        <v>28449.940000000002</v>
      </c>
      <c r="G69" s="66"/>
      <c r="J69" s="164">
        <f t="shared" si="4"/>
        <v>0</v>
      </c>
      <c r="K69" s="97">
        <f t="shared" si="7"/>
        <v>28449.940000000002</v>
      </c>
      <c r="L69" s="97">
        <f t="shared" si="8"/>
        <v>0</v>
      </c>
    </row>
    <row r="70" spans="1:12" x14ac:dyDescent="0.25">
      <c r="B70" s="93"/>
      <c r="C70" s="93"/>
      <c r="D70" s="100"/>
      <c r="E70" s="100"/>
      <c r="F70" s="100"/>
    </row>
    <row r="71" spans="1:12" ht="15.75" thickBot="1" x14ac:dyDescent="0.3">
      <c r="B71" s="104" t="s">
        <v>24</v>
      </c>
      <c r="C71" s="93"/>
      <c r="D71" s="105">
        <f>SUM(D6:D70)</f>
        <v>4198.1099999999997</v>
      </c>
      <c r="E71" s="105">
        <f>SUM(E6:E70)</f>
        <v>33070</v>
      </c>
      <c r="F71" s="105">
        <f>SUM(E71-D71+E4)</f>
        <v>28449.94</v>
      </c>
    </row>
    <row r="72" spans="1:12" ht="15.75" thickTop="1" x14ac:dyDescent="0.25"/>
  </sheetData>
  <pageMargins left="1.06" right="0" top="0.33" bottom="0.74803149606299213" header="0.31496062992125984" footer="0.31496062992125984"/>
  <pageSetup paperSize="9" scale="86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H54"/>
  <sheetViews>
    <sheetView zoomScale="87" zoomScaleNormal="87" workbookViewId="0">
      <pane xSplit="4" ySplit="5" topLeftCell="Q6" activePane="bottomRight" state="frozen"/>
      <selection activeCell="D51" sqref="D51"/>
      <selection pane="topRight" activeCell="D51" sqref="D51"/>
      <selection pane="bottomLeft" activeCell="D51" sqref="D51"/>
      <selection pane="bottomRight" activeCell="K5" sqref="K5:W5"/>
    </sheetView>
  </sheetViews>
  <sheetFormatPr defaultRowHeight="15" x14ac:dyDescent="0.25"/>
  <cols>
    <col min="1" max="1" width="10.7109375" style="29" bestFit="1" customWidth="1"/>
    <col min="2" max="2" width="39.5703125" style="58" customWidth="1"/>
    <col min="3" max="3" width="10" style="29" customWidth="1"/>
    <col min="4" max="4" width="12.85546875" style="30" customWidth="1"/>
    <col min="5" max="5" width="4.5703125" style="31" customWidth="1"/>
    <col min="6" max="6" width="12.42578125" style="30" bestFit="1" customWidth="1"/>
    <col min="7" max="7" width="11.28515625" style="30" bestFit="1" customWidth="1"/>
    <col min="8" max="8" width="1.5703125" style="58" customWidth="1"/>
    <col min="9" max="9" width="42.28515625" style="58" customWidth="1"/>
    <col min="10" max="10" width="9.140625" style="58"/>
    <col min="11" max="18" width="20.7109375" style="58" customWidth="1"/>
    <col min="19" max="19" width="9.140625" style="58"/>
    <col min="20" max="20" width="11.42578125" style="151" customWidth="1"/>
    <col min="21" max="21" width="11.42578125" style="154" customWidth="1"/>
    <col min="22" max="22" width="11.42578125" style="152" customWidth="1"/>
    <col min="23" max="23" width="9.140625" style="151"/>
    <col min="24" max="27" width="9.140625" style="58"/>
    <col min="28" max="31" width="15.7109375" style="58" customWidth="1"/>
    <col min="32" max="16384" width="9.140625" style="58"/>
  </cols>
  <sheetData>
    <row r="1" spans="1:34" ht="18.75" x14ac:dyDescent="0.25">
      <c r="A1" s="178" t="s">
        <v>75</v>
      </c>
      <c r="B1" s="178"/>
      <c r="C1" s="178"/>
      <c r="D1" s="178"/>
    </row>
    <row r="2" spans="1:34" ht="15.75" x14ac:dyDescent="0.25">
      <c r="A2" s="179" t="s">
        <v>31</v>
      </c>
      <c r="B2" s="179"/>
      <c r="C2" s="179"/>
      <c r="D2" s="179"/>
    </row>
    <row r="3" spans="1:34" ht="21.75" customHeight="1" x14ac:dyDescent="0.25">
      <c r="A3" s="72"/>
      <c r="B3" s="68"/>
      <c r="C3" s="69"/>
      <c r="D3" s="70"/>
      <c r="K3" s="182" t="s">
        <v>70</v>
      </c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AB3" s="182" t="s">
        <v>72</v>
      </c>
      <c r="AC3" s="182"/>
      <c r="AD3" s="182"/>
      <c r="AE3" s="182"/>
      <c r="AF3" s="182"/>
      <c r="AG3" s="182"/>
      <c r="AH3" s="182"/>
    </row>
    <row r="4" spans="1:34" ht="27.75" customHeight="1" x14ac:dyDescent="0.25"/>
    <row r="5" spans="1:34" ht="30" x14ac:dyDescent="0.25">
      <c r="A5" s="33" t="s">
        <v>0</v>
      </c>
      <c r="B5" s="32" t="s">
        <v>1</v>
      </c>
      <c r="C5" s="33" t="s">
        <v>2</v>
      </c>
      <c r="D5" s="34" t="s">
        <v>3</v>
      </c>
      <c r="E5" s="35"/>
      <c r="F5" s="34" t="s">
        <v>4</v>
      </c>
      <c r="G5" s="34" t="s">
        <v>5</v>
      </c>
      <c r="H5" s="32"/>
      <c r="I5" s="106" t="s">
        <v>6</v>
      </c>
      <c r="J5" s="94"/>
      <c r="K5" s="206" t="s">
        <v>47</v>
      </c>
      <c r="L5" s="206" t="s">
        <v>48</v>
      </c>
      <c r="M5" s="206" t="s">
        <v>49</v>
      </c>
      <c r="N5" s="206" t="s">
        <v>50</v>
      </c>
      <c r="O5" s="206" t="s">
        <v>51</v>
      </c>
      <c r="P5" s="206" t="s">
        <v>52</v>
      </c>
      <c r="Q5" s="206" t="s">
        <v>53</v>
      </c>
      <c r="R5" s="206" t="s">
        <v>54</v>
      </c>
      <c r="S5" s="206" t="s">
        <v>45</v>
      </c>
      <c r="T5" s="206" t="s">
        <v>63</v>
      </c>
      <c r="U5" s="206"/>
      <c r="V5" s="206"/>
      <c r="W5" s="206"/>
      <c r="X5" s="58" t="s">
        <v>34</v>
      </c>
      <c r="AB5" s="58" t="s">
        <v>87</v>
      </c>
      <c r="AC5" s="58" t="s">
        <v>99</v>
      </c>
      <c r="AD5" s="58" t="s">
        <v>91</v>
      </c>
      <c r="AE5" s="58" t="s">
        <v>98</v>
      </c>
      <c r="AH5" s="58" t="s">
        <v>71</v>
      </c>
    </row>
    <row r="6" spans="1:34" s="138" customFormat="1" ht="15.75" customHeight="1" x14ac:dyDescent="0.25">
      <c r="A6" s="133"/>
      <c r="B6" s="134"/>
      <c r="C6" s="133"/>
      <c r="D6" s="135"/>
      <c r="E6" s="136"/>
      <c r="F6" s="135"/>
      <c r="G6" s="135"/>
      <c r="H6" s="134"/>
      <c r="I6" s="137"/>
      <c r="K6" s="138">
        <f t="shared" ref="K6:W6" si="0">SUM(K7:K48)</f>
        <v>0</v>
      </c>
      <c r="L6" s="138">
        <f t="shared" si="0"/>
        <v>0</v>
      </c>
      <c r="M6" s="138">
        <f t="shared" si="0"/>
        <v>0</v>
      </c>
      <c r="N6" s="138">
        <f t="shared" si="0"/>
        <v>2891.4200000000005</v>
      </c>
      <c r="O6" s="138">
        <f t="shared" si="0"/>
        <v>0</v>
      </c>
      <c r="P6" s="138">
        <f t="shared" si="0"/>
        <v>983.69</v>
      </c>
      <c r="Q6" s="138">
        <f t="shared" si="0"/>
        <v>0</v>
      </c>
      <c r="R6" s="138">
        <f t="shared" si="0"/>
        <v>0</v>
      </c>
      <c r="S6" s="138">
        <f t="shared" si="0"/>
        <v>13</v>
      </c>
      <c r="T6" s="138">
        <f t="shared" si="0"/>
        <v>210</v>
      </c>
      <c r="U6" s="138">
        <f t="shared" si="0"/>
        <v>0</v>
      </c>
      <c r="V6" s="138">
        <f t="shared" si="0"/>
        <v>0</v>
      </c>
      <c r="W6" s="138">
        <f t="shared" si="0"/>
        <v>0</v>
      </c>
      <c r="X6" s="138">
        <f>SUM(K6:W6)</f>
        <v>4098.1100000000006</v>
      </c>
      <c r="Y6" s="138">
        <f>SUM(X7:X48)</f>
        <v>4098.1099999999997</v>
      </c>
      <c r="AB6" s="138">
        <f>SUM(AB7:AB48)</f>
        <v>1870.66</v>
      </c>
      <c r="AC6" s="138">
        <f>SUM(AC7:AC48)</f>
        <v>1853.2400000000002</v>
      </c>
      <c r="AD6" s="138">
        <f>SUM(AD7:AD48)</f>
        <v>216</v>
      </c>
      <c r="AE6" s="138">
        <f>SUM(AE7:AE48)</f>
        <v>145.20999999999998</v>
      </c>
      <c r="AH6" s="138">
        <f>SUM(AB6:AG6)</f>
        <v>4085.1100000000006</v>
      </c>
    </row>
    <row r="7" spans="1:34" s="60" customFormat="1" x14ac:dyDescent="0.25">
      <c r="A7" s="131">
        <v>43321</v>
      </c>
      <c r="B7" s="46" t="s">
        <v>80</v>
      </c>
      <c r="C7" s="139"/>
      <c r="D7" s="48">
        <v>75</v>
      </c>
      <c r="E7" s="102"/>
      <c r="F7" s="48"/>
      <c r="G7" s="48"/>
      <c r="H7" s="46"/>
      <c r="I7" s="161"/>
      <c r="J7" s="83"/>
      <c r="K7" s="48"/>
      <c r="L7" s="38"/>
      <c r="M7" s="38"/>
      <c r="T7" s="48">
        <v>75</v>
      </c>
      <c r="U7" s="154"/>
      <c r="V7" s="152"/>
      <c r="W7" s="151"/>
      <c r="X7" s="138">
        <f t="shared" ref="X7:X48" si="1">SUM(K7:W7)</f>
        <v>75</v>
      </c>
      <c r="AB7" s="48">
        <v>75</v>
      </c>
    </row>
    <row r="8" spans="1:34" ht="15" customHeight="1" x14ac:dyDescent="0.25">
      <c r="A8" s="131">
        <v>43340</v>
      </c>
      <c r="B8" s="46" t="s">
        <v>89</v>
      </c>
      <c r="C8" s="139"/>
      <c r="D8" s="48">
        <v>156</v>
      </c>
      <c r="E8" s="66"/>
      <c r="F8" s="48"/>
      <c r="G8" s="48"/>
      <c r="H8" s="46"/>
      <c r="I8" s="161"/>
      <c r="J8" s="83"/>
      <c r="K8" s="107"/>
      <c r="L8" s="48"/>
      <c r="M8" s="38"/>
      <c r="P8" s="48">
        <v>156</v>
      </c>
      <c r="X8" s="138">
        <f t="shared" si="1"/>
        <v>156</v>
      </c>
      <c r="AD8" s="48">
        <v>156</v>
      </c>
    </row>
    <row r="9" spans="1:34" x14ac:dyDescent="0.25">
      <c r="A9" s="131">
        <v>44099</v>
      </c>
      <c r="B9" s="46" t="s">
        <v>93</v>
      </c>
      <c r="C9" s="48"/>
      <c r="D9" s="48">
        <v>535.94000000000005</v>
      </c>
      <c r="E9" s="102"/>
      <c r="F9" s="48"/>
      <c r="G9" s="48"/>
      <c r="H9" s="46"/>
      <c r="I9" s="160"/>
      <c r="J9" s="83"/>
      <c r="K9" s="107"/>
      <c r="L9" s="38"/>
      <c r="M9" s="48"/>
      <c r="N9" s="48">
        <v>535.94000000000005</v>
      </c>
      <c r="X9" s="138">
        <f t="shared" si="1"/>
        <v>535.94000000000005</v>
      </c>
      <c r="AC9" s="48">
        <v>535.94000000000005</v>
      </c>
    </row>
    <row r="10" spans="1:34" x14ac:dyDescent="0.25">
      <c r="A10" s="131">
        <v>43425</v>
      </c>
      <c r="B10" s="141" t="s">
        <v>95</v>
      </c>
      <c r="C10" s="139"/>
      <c r="D10" s="48">
        <v>12.5</v>
      </c>
      <c r="E10" s="102"/>
      <c r="F10" s="48"/>
      <c r="G10" s="48"/>
      <c r="H10" s="50"/>
      <c r="I10" s="160"/>
      <c r="J10" s="83"/>
      <c r="K10" s="107"/>
      <c r="L10" s="38"/>
      <c r="M10" s="38"/>
      <c r="N10" s="48">
        <v>12.5</v>
      </c>
      <c r="X10" s="138">
        <f t="shared" si="1"/>
        <v>12.5</v>
      </c>
      <c r="AC10" s="48">
        <v>12.5</v>
      </c>
    </row>
    <row r="11" spans="1:34" ht="15" customHeight="1" x14ac:dyDescent="0.25">
      <c r="A11" s="131">
        <v>43432</v>
      </c>
      <c r="B11" s="141" t="s">
        <v>96</v>
      </c>
      <c r="C11" s="130"/>
      <c r="D11" s="142">
        <v>652.4</v>
      </c>
      <c r="E11" s="102"/>
      <c r="F11" s="48"/>
      <c r="G11" s="48"/>
      <c r="H11" s="46"/>
      <c r="I11" s="160"/>
      <c r="J11" s="83"/>
      <c r="K11" s="107"/>
      <c r="L11" s="38"/>
      <c r="M11" s="38"/>
      <c r="N11" s="142">
        <v>652.4</v>
      </c>
      <c r="X11" s="138">
        <f t="shared" si="1"/>
        <v>652.4</v>
      </c>
      <c r="AC11" s="142">
        <v>652.4</v>
      </c>
    </row>
    <row r="12" spans="1:34" x14ac:dyDescent="0.25">
      <c r="A12" s="131">
        <v>43470</v>
      </c>
      <c r="B12" s="46" t="s">
        <v>90</v>
      </c>
      <c r="C12" s="139"/>
      <c r="D12" s="48">
        <v>60</v>
      </c>
      <c r="E12" s="180"/>
      <c r="F12" s="48"/>
      <c r="G12" s="48"/>
      <c r="H12" s="46"/>
      <c r="I12" s="160"/>
      <c r="J12" s="83"/>
      <c r="K12" s="107"/>
      <c r="L12" s="38"/>
      <c r="M12" s="38"/>
      <c r="N12" s="48"/>
      <c r="O12" s="48"/>
      <c r="T12" s="48">
        <v>60</v>
      </c>
      <c r="X12" s="138">
        <f t="shared" si="1"/>
        <v>60</v>
      </c>
      <c r="AD12" s="48">
        <v>60</v>
      </c>
    </row>
    <row r="13" spans="1:34" x14ac:dyDescent="0.25">
      <c r="A13" s="131">
        <v>43503</v>
      </c>
      <c r="B13" s="46" t="s">
        <v>81</v>
      </c>
      <c r="C13" s="130"/>
      <c r="D13" s="48">
        <v>34.99</v>
      </c>
      <c r="E13" s="181"/>
      <c r="F13" s="48"/>
      <c r="G13" s="48"/>
      <c r="H13" s="140"/>
      <c r="I13" s="160"/>
      <c r="J13" s="82"/>
      <c r="K13" s="83"/>
      <c r="L13" s="38"/>
      <c r="M13" s="38"/>
      <c r="N13" s="79"/>
      <c r="P13" s="48">
        <v>34.99</v>
      </c>
      <c r="X13" s="138">
        <f t="shared" si="1"/>
        <v>34.99</v>
      </c>
      <c r="AB13" s="48">
        <v>34.99</v>
      </c>
    </row>
    <row r="14" spans="1:34" x14ac:dyDescent="0.25">
      <c r="A14" s="131">
        <v>43507</v>
      </c>
      <c r="B14" s="159" t="s">
        <v>82</v>
      </c>
      <c r="C14" s="139"/>
      <c r="D14" s="48">
        <v>532.79999999999995</v>
      </c>
      <c r="E14" s="66"/>
      <c r="F14" s="48"/>
      <c r="G14" s="48"/>
      <c r="H14" s="46"/>
      <c r="I14" s="160"/>
      <c r="J14" s="83"/>
      <c r="K14" s="107"/>
      <c r="L14" s="38"/>
      <c r="M14" s="38"/>
      <c r="O14" s="79"/>
      <c r="P14" s="48">
        <v>532.79999999999995</v>
      </c>
      <c r="X14" s="138">
        <f t="shared" si="1"/>
        <v>532.79999999999995</v>
      </c>
      <c r="AB14" s="48">
        <v>532.79999999999995</v>
      </c>
    </row>
    <row r="15" spans="1:34" x14ac:dyDescent="0.25">
      <c r="A15" s="127">
        <v>43523</v>
      </c>
      <c r="B15" s="124" t="s">
        <v>83</v>
      </c>
      <c r="C15" s="139"/>
      <c r="D15" s="126">
        <v>158.02000000000001</v>
      </c>
      <c r="E15" s="66"/>
      <c r="F15" s="48"/>
      <c r="G15" s="48"/>
      <c r="H15" s="46"/>
      <c r="I15" s="160"/>
      <c r="J15" s="83"/>
      <c r="K15" s="79"/>
      <c r="L15" s="38"/>
      <c r="M15" s="38"/>
      <c r="N15" s="126">
        <v>158.02000000000001</v>
      </c>
      <c r="X15" s="138">
        <f t="shared" si="1"/>
        <v>158.02000000000001</v>
      </c>
      <c r="AB15" s="126">
        <v>158.02000000000001</v>
      </c>
    </row>
    <row r="16" spans="1:34" x14ac:dyDescent="0.25">
      <c r="A16" s="127">
        <v>43523</v>
      </c>
      <c r="B16" s="124" t="s">
        <v>84</v>
      </c>
      <c r="C16" s="130"/>
      <c r="D16" s="126">
        <v>25</v>
      </c>
      <c r="E16" s="66"/>
      <c r="F16" s="48"/>
      <c r="G16" s="48"/>
      <c r="H16" s="46"/>
      <c r="I16" s="160"/>
      <c r="J16" s="83"/>
      <c r="K16" s="107"/>
      <c r="L16" s="38"/>
      <c r="M16" s="38"/>
      <c r="N16" s="126">
        <v>25</v>
      </c>
      <c r="X16" s="138">
        <f t="shared" si="1"/>
        <v>25</v>
      </c>
      <c r="AB16" s="126">
        <v>25</v>
      </c>
    </row>
    <row r="17" spans="1:31" ht="15" customHeight="1" x14ac:dyDescent="0.25">
      <c r="A17" s="95">
        <v>43556</v>
      </c>
      <c r="B17" s="86" t="s">
        <v>85</v>
      </c>
      <c r="C17" s="139"/>
      <c r="D17" s="156">
        <v>51.98</v>
      </c>
      <c r="E17" s="66"/>
      <c r="F17" s="48"/>
      <c r="G17" s="48"/>
      <c r="H17" s="46"/>
      <c r="I17" s="160"/>
      <c r="J17" s="83"/>
      <c r="K17" s="107"/>
      <c r="L17" s="38"/>
      <c r="M17" s="38"/>
      <c r="P17" s="156">
        <v>51.98</v>
      </c>
      <c r="X17" s="138">
        <f t="shared" si="1"/>
        <v>51.98</v>
      </c>
      <c r="AB17" s="156">
        <v>51.98</v>
      </c>
    </row>
    <row r="18" spans="1:31" x14ac:dyDescent="0.25">
      <c r="A18" s="131">
        <v>43584</v>
      </c>
      <c r="B18" s="86" t="s">
        <v>85</v>
      </c>
      <c r="C18" s="130"/>
      <c r="D18" s="48">
        <v>51.98</v>
      </c>
      <c r="E18" s="66"/>
      <c r="F18" s="48"/>
      <c r="G18" s="48"/>
      <c r="H18" s="50"/>
      <c r="I18" s="160"/>
      <c r="J18" s="83"/>
      <c r="K18" s="107"/>
      <c r="L18" s="38"/>
      <c r="M18" s="38"/>
      <c r="N18" s="142"/>
      <c r="P18" s="48">
        <v>51.98</v>
      </c>
      <c r="X18" s="138">
        <f t="shared" si="1"/>
        <v>51.98</v>
      </c>
      <c r="AB18" s="48">
        <v>51.98</v>
      </c>
    </row>
    <row r="19" spans="1:31" x14ac:dyDescent="0.25">
      <c r="A19" s="131">
        <v>43605</v>
      </c>
      <c r="B19" s="46" t="s">
        <v>84</v>
      </c>
      <c r="C19" s="130"/>
      <c r="D19" s="48">
        <v>12.5</v>
      </c>
      <c r="E19" s="66"/>
      <c r="F19" s="48"/>
      <c r="G19" s="48"/>
      <c r="H19" s="50"/>
      <c r="I19" s="160"/>
      <c r="J19" s="107"/>
      <c r="K19" s="107"/>
      <c r="L19" s="38"/>
      <c r="M19" s="38"/>
      <c r="N19" s="48">
        <v>12.5</v>
      </c>
      <c r="X19" s="138">
        <f t="shared" si="1"/>
        <v>12.5</v>
      </c>
      <c r="AB19" s="48">
        <v>12.5</v>
      </c>
    </row>
    <row r="20" spans="1:31" s="74" customFormat="1" x14ac:dyDescent="0.25">
      <c r="A20" s="131">
        <v>43613</v>
      </c>
      <c r="B20" s="144" t="s">
        <v>85</v>
      </c>
      <c r="C20" s="139"/>
      <c r="D20" s="48">
        <v>51.98</v>
      </c>
      <c r="E20" s="66"/>
      <c r="F20" s="48"/>
      <c r="G20" s="48"/>
      <c r="H20" s="50"/>
      <c r="I20" s="160"/>
      <c r="J20" s="107"/>
      <c r="K20" s="107"/>
      <c r="L20" s="38"/>
      <c r="M20" s="38"/>
      <c r="N20" s="48"/>
      <c r="P20" s="48">
        <v>51.98</v>
      </c>
      <c r="T20" s="151"/>
      <c r="U20" s="154"/>
      <c r="V20" s="152"/>
      <c r="W20" s="151"/>
      <c r="X20" s="138">
        <f t="shared" si="1"/>
        <v>51.98</v>
      </c>
      <c r="AB20" s="48">
        <v>51.98</v>
      </c>
    </row>
    <row r="21" spans="1:31" x14ac:dyDescent="0.25">
      <c r="A21" s="131">
        <v>43614</v>
      </c>
      <c r="B21" s="144" t="s">
        <v>84</v>
      </c>
      <c r="C21" s="130"/>
      <c r="D21" s="48">
        <v>12.5</v>
      </c>
      <c r="E21" s="66"/>
      <c r="F21" s="48"/>
      <c r="G21" s="48"/>
      <c r="H21" s="50"/>
      <c r="I21" s="160"/>
      <c r="J21" s="83"/>
      <c r="K21" s="107"/>
      <c r="L21" s="38"/>
      <c r="M21" s="38"/>
      <c r="N21" s="48">
        <v>12.5</v>
      </c>
      <c r="X21" s="138">
        <f t="shared" si="1"/>
        <v>12.5</v>
      </c>
      <c r="AB21" s="48">
        <v>12.5</v>
      </c>
    </row>
    <row r="22" spans="1:31" x14ac:dyDescent="0.25">
      <c r="A22" s="131">
        <v>43614</v>
      </c>
      <c r="B22" s="144" t="s">
        <v>86</v>
      </c>
      <c r="C22" s="139"/>
      <c r="D22" s="48">
        <v>684.95</v>
      </c>
      <c r="E22" s="66"/>
      <c r="F22" s="48"/>
      <c r="G22" s="48"/>
      <c r="H22" s="50"/>
      <c r="I22" s="160"/>
      <c r="J22" s="83"/>
      <c r="K22" s="142"/>
      <c r="L22" s="107"/>
      <c r="M22" s="107"/>
      <c r="N22" s="48">
        <v>684.95</v>
      </c>
      <c r="X22" s="138">
        <f t="shared" si="1"/>
        <v>684.95</v>
      </c>
      <c r="AB22" s="48">
        <v>684.95</v>
      </c>
    </row>
    <row r="23" spans="1:31" x14ac:dyDescent="0.25">
      <c r="A23" s="131">
        <v>43623</v>
      </c>
      <c r="B23" s="144" t="s">
        <v>80</v>
      </c>
      <c r="C23" s="139"/>
      <c r="D23" s="48">
        <v>75</v>
      </c>
      <c r="E23" s="66"/>
      <c r="F23" s="48"/>
      <c r="G23" s="48"/>
      <c r="H23" s="50"/>
      <c r="I23" s="160"/>
      <c r="J23" s="107"/>
      <c r="K23" s="107"/>
      <c r="L23" s="107"/>
      <c r="M23" s="107"/>
      <c r="T23" s="48">
        <v>75</v>
      </c>
      <c r="X23" s="138">
        <f t="shared" si="1"/>
        <v>75</v>
      </c>
      <c r="AB23" s="48">
        <v>75</v>
      </c>
    </row>
    <row r="24" spans="1:31" x14ac:dyDescent="0.25">
      <c r="A24" s="131">
        <v>43626</v>
      </c>
      <c r="B24" s="46" t="s">
        <v>93</v>
      </c>
      <c r="C24" s="130"/>
      <c r="D24" s="48">
        <v>652.4</v>
      </c>
      <c r="E24" s="66"/>
      <c r="F24" s="48"/>
      <c r="G24" s="48"/>
      <c r="H24" s="46"/>
      <c r="I24" s="160"/>
      <c r="J24" s="83"/>
      <c r="K24" s="107"/>
      <c r="L24" s="107"/>
      <c r="M24" s="107"/>
      <c r="N24" s="48">
        <v>652.4</v>
      </c>
      <c r="X24" s="138">
        <f t="shared" si="1"/>
        <v>652.4</v>
      </c>
      <c r="AC24" s="48">
        <v>652.4</v>
      </c>
    </row>
    <row r="25" spans="1:31" x14ac:dyDescent="0.25">
      <c r="A25" s="131">
        <v>43643</v>
      </c>
      <c r="B25" s="46" t="s">
        <v>60</v>
      </c>
      <c r="C25" s="139"/>
      <c r="D25" s="101">
        <v>13</v>
      </c>
      <c r="E25" s="66"/>
      <c r="F25" s="48"/>
      <c r="G25" s="48"/>
      <c r="H25" s="46"/>
      <c r="I25" s="160"/>
      <c r="J25" s="83"/>
      <c r="K25" s="107"/>
      <c r="L25" s="38"/>
      <c r="M25" s="38"/>
      <c r="S25" s="101">
        <v>13</v>
      </c>
      <c r="X25" s="138">
        <f t="shared" si="1"/>
        <v>13</v>
      </c>
    </row>
    <row r="26" spans="1:31" s="80" customFormat="1" x14ac:dyDescent="0.25">
      <c r="A26" s="131">
        <v>43644</v>
      </c>
      <c r="B26" s="144" t="s">
        <v>85</v>
      </c>
      <c r="C26" s="139"/>
      <c r="D26" s="101">
        <v>51.98</v>
      </c>
      <c r="E26" s="66"/>
      <c r="F26" s="48"/>
      <c r="G26" s="48"/>
      <c r="H26" s="46"/>
      <c r="I26" s="160"/>
      <c r="J26" s="83"/>
      <c r="K26" s="107"/>
      <c r="L26" s="38"/>
      <c r="M26" s="38"/>
      <c r="P26" s="101">
        <v>51.98</v>
      </c>
      <c r="T26" s="151"/>
      <c r="U26" s="154"/>
      <c r="V26" s="152"/>
      <c r="W26" s="151"/>
      <c r="X26" s="138">
        <f t="shared" si="1"/>
        <v>51.98</v>
      </c>
      <c r="AB26" s="48">
        <v>51.98</v>
      </c>
    </row>
    <row r="27" spans="1:31" s="80" customFormat="1" x14ac:dyDescent="0.25">
      <c r="A27" s="131">
        <v>44014</v>
      </c>
      <c r="B27" s="46" t="s">
        <v>100</v>
      </c>
      <c r="C27" s="139"/>
      <c r="D27" s="101">
        <v>25</v>
      </c>
      <c r="E27" s="66"/>
      <c r="F27" s="48"/>
      <c r="G27" s="48"/>
      <c r="H27" s="50"/>
      <c r="I27" s="160"/>
      <c r="J27" s="83"/>
      <c r="K27" s="107"/>
      <c r="L27" s="38"/>
      <c r="M27" s="38"/>
      <c r="N27" s="101">
        <v>25</v>
      </c>
      <c r="T27" s="151"/>
      <c r="U27" s="154"/>
      <c r="V27" s="152"/>
      <c r="W27" s="151"/>
      <c r="X27" s="138">
        <f t="shared" si="1"/>
        <v>25</v>
      </c>
      <c r="AE27" s="101">
        <v>25</v>
      </c>
    </row>
    <row r="28" spans="1:31" s="80" customFormat="1" ht="15" customHeight="1" x14ac:dyDescent="0.25">
      <c r="A28" s="131">
        <v>43650</v>
      </c>
      <c r="B28" s="46" t="s">
        <v>100</v>
      </c>
      <c r="C28" s="139"/>
      <c r="D28" s="101">
        <v>120.21</v>
      </c>
      <c r="E28" s="66"/>
      <c r="F28" s="48"/>
      <c r="G28" s="48"/>
      <c r="H28" s="46"/>
      <c r="I28" s="160"/>
      <c r="J28" s="83"/>
      <c r="K28" s="107"/>
      <c r="L28" s="38"/>
      <c r="M28" s="38"/>
      <c r="N28" s="101">
        <v>120.21</v>
      </c>
      <c r="T28" s="151"/>
      <c r="U28" s="154"/>
      <c r="V28" s="152"/>
      <c r="W28" s="151"/>
      <c r="X28" s="138">
        <f t="shared" si="1"/>
        <v>120.21</v>
      </c>
      <c r="AE28" s="101">
        <v>120.21</v>
      </c>
    </row>
    <row r="29" spans="1:31" s="81" customFormat="1" ht="15" customHeight="1" x14ac:dyDescent="0.25">
      <c r="A29" s="131">
        <v>43675</v>
      </c>
      <c r="B29" s="144" t="s">
        <v>85</v>
      </c>
      <c r="C29" s="139"/>
      <c r="D29" s="101">
        <v>51.98</v>
      </c>
      <c r="E29" s="66"/>
      <c r="F29" s="48"/>
      <c r="G29" s="48"/>
      <c r="H29" s="46"/>
      <c r="I29" s="160"/>
      <c r="J29" s="83"/>
      <c r="K29" s="107"/>
      <c r="L29" s="38"/>
      <c r="M29" s="38"/>
      <c r="P29" s="101">
        <v>51.98</v>
      </c>
      <c r="T29" s="151"/>
      <c r="U29" s="154"/>
      <c r="V29" s="152"/>
      <c r="W29" s="151"/>
      <c r="X29" s="138">
        <f t="shared" si="1"/>
        <v>51.98</v>
      </c>
      <c r="AB29" s="48">
        <v>51.98</v>
      </c>
    </row>
    <row r="30" spans="1:31" s="147" customFormat="1" ht="15" customHeight="1" x14ac:dyDescent="0.25">
      <c r="A30" s="127"/>
      <c r="B30" s="124"/>
      <c r="C30" s="139"/>
      <c r="D30" s="126"/>
      <c r="E30" s="66"/>
      <c r="F30" s="48"/>
      <c r="G30" s="48"/>
      <c r="H30" s="46"/>
      <c r="I30" s="160"/>
      <c r="J30" s="83"/>
      <c r="K30" s="107"/>
      <c r="L30" s="38"/>
      <c r="M30" s="38"/>
      <c r="T30" s="151"/>
      <c r="U30" s="154"/>
      <c r="V30" s="152"/>
      <c r="W30" s="151"/>
      <c r="X30" s="138">
        <f t="shared" si="1"/>
        <v>0</v>
      </c>
    </row>
    <row r="31" spans="1:31" s="147" customFormat="1" ht="15" customHeight="1" x14ac:dyDescent="0.25">
      <c r="A31" s="127"/>
      <c r="B31" s="124"/>
      <c r="C31" s="139"/>
      <c r="D31" s="126"/>
      <c r="E31" s="66"/>
      <c r="F31" s="48"/>
      <c r="G31" s="48"/>
      <c r="H31" s="46"/>
      <c r="I31" s="160"/>
      <c r="J31" s="83"/>
      <c r="K31" s="107"/>
      <c r="L31" s="38"/>
      <c r="M31" s="38"/>
      <c r="T31" s="151"/>
      <c r="U31" s="154"/>
      <c r="V31" s="152"/>
      <c r="W31" s="151"/>
      <c r="X31" s="138">
        <f t="shared" si="1"/>
        <v>0</v>
      </c>
    </row>
    <row r="32" spans="1:31" s="147" customFormat="1" ht="15" customHeight="1" x14ac:dyDescent="0.25">
      <c r="A32" s="127"/>
      <c r="B32" s="124"/>
      <c r="C32" s="139"/>
      <c r="D32" s="126"/>
      <c r="E32" s="66"/>
      <c r="F32" s="48"/>
      <c r="G32" s="48"/>
      <c r="H32" s="46"/>
      <c r="I32" s="160"/>
      <c r="J32" s="83"/>
      <c r="K32" s="107"/>
      <c r="L32" s="38"/>
      <c r="M32" s="38"/>
      <c r="T32" s="151"/>
      <c r="U32" s="154"/>
      <c r="V32" s="152"/>
      <c r="W32" s="151"/>
      <c r="X32" s="138">
        <f t="shared" si="1"/>
        <v>0</v>
      </c>
    </row>
    <row r="33" spans="1:24" s="147" customFormat="1" ht="15" customHeight="1" x14ac:dyDescent="0.25">
      <c r="A33" s="127"/>
      <c r="B33" s="124"/>
      <c r="C33" s="139"/>
      <c r="D33" s="126"/>
      <c r="E33" s="66"/>
      <c r="F33" s="48"/>
      <c r="G33" s="48"/>
      <c r="H33" s="50"/>
      <c r="I33" s="160"/>
      <c r="J33" s="83"/>
      <c r="K33" s="107"/>
      <c r="L33" s="38"/>
      <c r="M33" s="38"/>
      <c r="T33" s="151"/>
      <c r="U33" s="154"/>
      <c r="V33" s="152"/>
      <c r="W33" s="151"/>
      <c r="X33" s="138">
        <f t="shared" si="1"/>
        <v>0</v>
      </c>
    </row>
    <row r="34" spans="1:24" s="147" customFormat="1" x14ac:dyDescent="0.25">
      <c r="A34" s="131"/>
      <c r="B34" s="46"/>
      <c r="C34" s="139"/>
      <c r="D34" s="48"/>
      <c r="E34" s="66"/>
      <c r="F34" s="48"/>
      <c r="G34" s="48"/>
      <c r="H34" s="46"/>
      <c r="I34" s="107"/>
      <c r="J34" s="83"/>
      <c r="K34" s="107"/>
      <c r="L34" s="38"/>
      <c r="M34" s="38"/>
      <c r="T34" s="151"/>
      <c r="U34" s="154"/>
      <c r="V34" s="152"/>
      <c r="W34" s="151"/>
      <c r="X34" s="138">
        <f t="shared" si="1"/>
        <v>0</v>
      </c>
    </row>
    <row r="35" spans="1:24" s="147" customFormat="1" ht="15" customHeight="1" x14ac:dyDescent="0.25">
      <c r="A35" s="131"/>
      <c r="B35" s="46"/>
      <c r="C35" s="139"/>
      <c r="D35" s="48"/>
      <c r="E35" s="66"/>
      <c r="F35" s="48"/>
      <c r="G35" s="48"/>
      <c r="H35" s="46"/>
      <c r="I35" s="107"/>
      <c r="J35" s="83"/>
      <c r="K35" s="107"/>
      <c r="L35" s="38"/>
      <c r="M35" s="38"/>
      <c r="T35" s="151"/>
      <c r="U35" s="154"/>
      <c r="V35" s="152"/>
      <c r="W35" s="151"/>
      <c r="X35" s="138">
        <f t="shared" si="1"/>
        <v>0</v>
      </c>
    </row>
    <row r="36" spans="1:24" s="147" customFormat="1" ht="15" customHeight="1" x14ac:dyDescent="0.25">
      <c r="A36" s="131"/>
      <c r="C36" s="139"/>
      <c r="D36" s="48"/>
      <c r="E36" s="66"/>
      <c r="F36" s="48"/>
      <c r="G36" s="48"/>
      <c r="H36" s="46"/>
      <c r="I36" s="107"/>
      <c r="J36" s="83"/>
      <c r="K36" s="107"/>
      <c r="L36" s="38"/>
      <c r="M36" s="38"/>
      <c r="T36" s="151"/>
      <c r="U36" s="154"/>
      <c r="V36" s="152"/>
      <c r="W36" s="151"/>
      <c r="X36" s="138">
        <f t="shared" si="1"/>
        <v>0</v>
      </c>
    </row>
    <row r="37" spans="1:24" s="147" customFormat="1" x14ac:dyDescent="0.25">
      <c r="A37" s="131"/>
      <c r="B37" s="46"/>
      <c r="C37" s="139"/>
      <c r="D37" s="48"/>
      <c r="E37" s="66"/>
      <c r="F37" s="48"/>
      <c r="G37" s="48"/>
      <c r="H37" s="46"/>
      <c r="I37" s="107"/>
      <c r="J37" s="83"/>
      <c r="K37" s="107"/>
      <c r="L37" s="38"/>
      <c r="M37" s="38"/>
      <c r="T37" s="151"/>
      <c r="U37" s="154"/>
      <c r="V37" s="152"/>
      <c r="W37" s="151"/>
      <c r="X37" s="138">
        <f t="shared" si="1"/>
        <v>0</v>
      </c>
    </row>
    <row r="38" spans="1:24" s="147" customFormat="1" x14ac:dyDescent="0.25">
      <c r="A38" s="131"/>
      <c r="B38" s="46"/>
      <c r="C38" s="139"/>
      <c r="D38" s="48"/>
      <c r="E38" s="66"/>
      <c r="F38" s="48"/>
      <c r="G38" s="48"/>
      <c r="H38" s="46"/>
      <c r="I38" s="107"/>
      <c r="J38" s="83"/>
      <c r="K38" s="107"/>
      <c r="L38" s="38"/>
      <c r="M38" s="38"/>
      <c r="N38" s="97"/>
      <c r="T38" s="151"/>
      <c r="U38" s="154"/>
      <c r="V38" s="152"/>
      <c r="W38" s="151"/>
      <c r="X38" s="138">
        <f t="shared" si="1"/>
        <v>0</v>
      </c>
    </row>
    <row r="39" spans="1:24" s="147" customFormat="1" ht="15" customHeight="1" x14ac:dyDescent="0.25">
      <c r="A39" s="131"/>
      <c r="B39" s="46"/>
      <c r="C39" s="139"/>
      <c r="D39" s="48"/>
      <c r="E39" s="66"/>
      <c r="F39" s="48"/>
      <c r="G39" s="48"/>
      <c r="H39" s="46"/>
      <c r="I39" s="107"/>
      <c r="J39" s="83"/>
      <c r="K39" s="107"/>
      <c r="L39" s="38"/>
      <c r="M39" s="38"/>
      <c r="T39" s="151"/>
      <c r="U39" s="154"/>
      <c r="V39" s="152"/>
      <c r="W39" s="151"/>
      <c r="X39" s="138">
        <f t="shared" si="1"/>
        <v>0</v>
      </c>
    </row>
    <row r="40" spans="1:24" s="147" customFormat="1" ht="15" customHeight="1" x14ac:dyDescent="0.25">
      <c r="A40" s="131"/>
      <c r="B40" s="46"/>
      <c r="C40" s="139"/>
      <c r="D40" s="48"/>
      <c r="E40" s="66"/>
      <c r="F40" s="48"/>
      <c r="G40" s="48"/>
      <c r="H40" s="46"/>
      <c r="I40" s="107"/>
      <c r="J40" s="83"/>
      <c r="K40" s="107"/>
      <c r="L40" s="38"/>
      <c r="M40" s="38"/>
      <c r="T40" s="151"/>
      <c r="U40" s="154"/>
      <c r="V40" s="152"/>
      <c r="W40" s="151"/>
      <c r="X40" s="138">
        <f t="shared" si="1"/>
        <v>0</v>
      </c>
    </row>
    <row r="41" spans="1:24" s="147" customFormat="1" x14ac:dyDescent="0.25">
      <c r="A41" s="131"/>
      <c r="B41" s="144"/>
      <c r="C41" s="139"/>
      <c r="D41" s="48"/>
      <c r="E41" s="66"/>
      <c r="F41" s="48"/>
      <c r="G41" s="48"/>
      <c r="H41" s="46"/>
      <c r="I41" s="107"/>
      <c r="J41" s="83"/>
      <c r="K41" s="107"/>
      <c r="L41" s="38"/>
      <c r="M41" s="38"/>
      <c r="T41" s="151"/>
      <c r="U41" s="154"/>
      <c r="V41" s="152"/>
      <c r="W41" s="151"/>
      <c r="X41" s="138">
        <f t="shared" si="1"/>
        <v>0</v>
      </c>
    </row>
    <row r="42" spans="1:24" s="147" customFormat="1" ht="15" customHeight="1" x14ac:dyDescent="0.25">
      <c r="A42" s="131"/>
      <c r="B42" s="46"/>
      <c r="C42" s="139"/>
      <c r="D42" s="48"/>
      <c r="E42" s="66"/>
      <c r="F42" s="48"/>
      <c r="G42" s="48"/>
      <c r="H42" s="46"/>
      <c r="I42" s="107"/>
      <c r="J42" s="83"/>
      <c r="K42" s="107"/>
      <c r="L42" s="38"/>
      <c r="M42" s="38"/>
      <c r="T42" s="151"/>
      <c r="U42" s="154"/>
      <c r="V42" s="152"/>
      <c r="W42" s="151"/>
      <c r="X42" s="138">
        <f t="shared" si="1"/>
        <v>0</v>
      </c>
    </row>
    <row r="43" spans="1:24" s="147" customFormat="1" ht="15" customHeight="1" x14ac:dyDescent="0.25">
      <c r="A43" s="131"/>
      <c r="B43" s="46"/>
      <c r="C43" s="139"/>
      <c r="D43" s="48"/>
      <c r="E43" s="66"/>
      <c r="F43" s="48"/>
      <c r="G43" s="48"/>
      <c r="H43" s="46"/>
      <c r="I43" s="107"/>
      <c r="J43" s="83"/>
      <c r="K43" s="107"/>
      <c r="L43" s="38"/>
      <c r="M43" s="38"/>
      <c r="T43" s="151"/>
      <c r="U43" s="154"/>
      <c r="V43" s="152"/>
      <c r="W43" s="151"/>
      <c r="X43" s="138">
        <f t="shared" si="1"/>
        <v>0</v>
      </c>
    </row>
    <row r="44" spans="1:24" s="147" customFormat="1" ht="15" customHeight="1" x14ac:dyDescent="0.25">
      <c r="A44" s="131"/>
      <c r="B44" s="46"/>
      <c r="C44" s="139"/>
      <c r="D44" s="48"/>
      <c r="E44" s="66"/>
      <c r="F44" s="48"/>
      <c r="G44" s="48"/>
      <c r="H44" s="46"/>
      <c r="I44" s="107"/>
      <c r="J44" s="83"/>
      <c r="K44" s="107"/>
      <c r="L44" s="38"/>
      <c r="M44" s="38"/>
      <c r="T44" s="151"/>
      <c r="U44" s="154"/>
      <c r="V44" s="152"/>
      <c r="W44" s="151"/>
      <c r="X44" s="138">
        <f t="shared" si="1"/>
        <v>0</v>
      </c>
    </row>
    <row r="45" spans="1:24" s="88" customFormat="1" ht="15" customHeight="1" thickBot="1" x14ac:dyDescent="0.3">
      <c r="A45" s="131"/>
      <c r="B45" s="39" t="s">
        <v>65</v>
      </c>
      <c r="C45" s="40"/>
      <c r="D45" s="49">
        <f>SUM(D7:D41)</f>
        <v>4098.1099999999997</v>
      </c>
      <c r="E45" s="66"/>
      <c r="F45" s="48"/>
      <c r="G45" s="48"/>
      <c r="H45" s="46"/>
      <c r="I45" s="107"/>
      <c r="J45" s="83"/>
      <c r="K45" s="107"/>
      <c r="L45" s="38"/>
      <c r="M45" s="38"/>
      <c r="T45" s="151"/>
      <c r="U45" s="154"/>
      <c r="V45" s="152"/>
      <c r="W45" s="151"/>
      <c r="X45" s="138">
        <f t="shared" si="1"/>
        <v>0</v>
      </c>
    </row>
    <row r="46" spans="1:24" s="88" customFormat="1" ht="15.75" thickTop="1" x14ac:dyDescent="0.25">
      <c r="A46" s="131"/>
      <c r="B46" s="167" t="s">
        <v>67</v>
      </c>
      <c r="C46" s="130"/>
      <c r="D46" s="48">
        <f>PettyCashExpend</f>
        <v>189.37</v>
      </c>
      <c r="E46" s="66"/>
      <c r="F46" s="48"/>
      <c r="G46" s="48"/>
      <c r="H46" s="46"/>
      <c r="I46" s="132"/>
      <c r="J46" s="91"/>
      <c r="K46" s="92"/>
      <c r="L46" s="38"/>
      <c r="M46" s="38"/>
      <c r="T46" s="151"/>
      <c r="U46" s="154"/>
      <c r="V46" s="152"/>
      <c r="W46" s="151"/>
      <c r="X46" s="138">
        <f t="shared" si="1"/>
        <v>0</v>
      </c>
    </row>
    <row r="47" spans="1:24" s="80" customFormat="1" x14ac:dyDescent="0.25">
      <c r="A47" s="131"/>
      <c r="B47" s="46"/>
      <c r="C47" s="130"/>
      <c r="D47" s="48"/>
      <c r="E47" s="66"/>
      <c r="F47" s="48"/>
      <c r="G47" s="48"/>
      <c r="H47" s="46"/>
      <c r="I47" s="107"/>
      <c r="J47" s="83"/>
      <c r="K47" s="107"/>
      <c r="L47" s="38"/>
      <c r="M47" s="38"/>
      <c r="T47" s="151"/>
      <c r="U47" s="154"/>
      <c r="V47" s="152"/>
      <c r="W47" s="151"/>
      <c r="X47" s="138">
        <f t="shared" si="1"/>
        <v>0</v>
      </c>
    </row>
    <row r="48" spans="1:24" s="67" customFormat="1" x14ac:dyDescent="0.25">
      <c r="A48" s="95"/>
      <c r="B48" s="86"/>
      <c r="C48" s="96"/>
      <c r="D48" s="108"/>
      <c r="E48" s="109"/>
      <c r="F48" s="48"/>
      <c r="G48" s="48"/>
      <c r="H48" s="86"/>
      <c r="I48" s="110"/>
      <c r="J48" s="107"/>
      <c r="K48" s="107"/>
      <c r="L48" s="38"/>
      <c r="M48" s="38"/>
      <c r="T48" s="151"/>
      <c r="U48" s="154"/>
      <c r="V48" s="152"/>
      <c r="W48" s="151"/>
      <c r="X48" s="138">
        <f t="shared" si="1"/>
        <v>0</v>
      </c>
    </row>
    <row r="49" spans="1:9" ht="15.75" thickBot="1" x14ac:dyDescent="0.3">
      <c r="B49" s="39" t="s">
        <v>7</v>
      </c>
      <c r="C49" s="40"/>
      <c r="D49" s="49">
        <f>SUM(D45:D48)</f>
        <v>4287.4799999999996</v>
      </c>
      <c r="E49" s="42"/>
      <c r="F49" s="49">
        <f>SUM(F5:F48)</f>
        <v>0</v>
      </c>
      <c r="G49" s="49">
        <f>SUM(G5:G48)</f>
        <v>0</v>
      </c>
    </row>
    <row r="50" spans="1:9" ht="15.75" thickTop="1" x14ac:dyDescent="0.25"/>
    <row r="51" spans="1:9" x14ac:dyDescent="0.25">
      <c r="A51" s="73"/>
      <c r="B51" s="27"/>
      <c r="C51" s="43"/>
      <c r="G51" s="44"/>
    </row>
    <row r="52" spans="1:9" x14ac:dyDescent="0.25">
      <c r="A52" s="65"/>
      <c r="D52" s="45"/>
      <c r="F52" s="45"/>
      <c r="G52" s="45"/>
      <c r="H52" s="38"/>
      <c r="I52" s="38"/>
    </row>
    <row r="54" spans="1:9" x14ac:dyDescent="0.25">
      <c r="B54" s="39"/>
    </row>
  </sheetData>
  <mergeCells count="5">
    <mergeCell ref="A1:D1"/>
    <mergeCell ref="A2:D2"/>
    <mergeCell ref="E12:E13"/>
    <mergeCell ref="K3:X3"/>
    <mergeCell ref="AB3:AH3"/>
  </mergeCells>
  <phoneticPr fontId="0" type="noConversion"/>
  <pageMargins left="0.55000000000000004" right="0.24" top="0.74803149606299213" bottom="0.74803149606299213" header="0.31496062992125984" footer="0.31496062992125984"/>
  <pageSetup paperSize="9" scale="65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G78"/>
  <sheetViews>
    <sheetView workbookViewId="0">
      <pane xSplit="10" topLeftCell="X1" activePane="topRight" state="frozen"/>
      <selection pane="topRight" activeCell="Z4" sqref="Z4"/>
    </sheetView>
  </sheetViews>
  <sheetFormatPr defaultRowHeight="15" x14ac:dyDescent="0.25"/>
  <cols>
    <col min="1" max="1" width="11.85546875" style="28" bestFit="1" customWidth="1"/>
    <col min="2" max="2" width="27.28515625" style="28" customWidth="1"/>
    <col min="3" max="3" width="10" style="29" customWidth="1"/>
    <col min="4" max="4" width="12.85546875" style="30" customWidth="1"/>
    <col min="5" max="5" width="4.5703125" style="31" customWidth="1"/>
    <col min="6" max="6" width="10.85546875" style="28" customWidth="1"/>
    <col min="7" max="7" width="9.140625" style="28"/>
    <col min="8" max="8" width="7.28515625" style="28" customWidth="1"/>
    <col min="9" max="9" width="5.28515625" style="28" customWidth="1"/>
    <col min="10" max="10" width="4.42578125" style="28" customWidth="1"/>
    <col min="11" max="13" width="9.140625" style="28"/>
    <col min="14" max="14" width="11.28515625" style="28" customWidth="1"/>
    <col min="15" max="15" width="10.7109375" style="28" customWidth="1"/>
    <col min="16" max="16" width="11" style="28" customWidth="1"/>
    <col min="17" max="21" width="9.140625" style="28"/>
    <col min="22" max="22" width="11.5703125" style="28" customWidth="1"/>
    <col min="23" max="24" width="9.140625" style="28"/>
    <col min="25" max="31" width="15.7109375" style="28" customWidth="1"/>
    <col min="32" max="32" width="9.140625" style="28"/>
    <col min="33" max="33" width="15.7109375" style="28" customWidth="1"/>
    <col min="34" max="16384" width="9.140625" style="28"/>
  </cols>
  <sheetData>
    <row r="1" spans="1:33" ht="18.75" x14ac:dyDescent="0.25">
      <c r="A1" s="183" t="s">
        <v>75</v>
      </c>
      <c r="B1" s="183"/>
      <c r="C1" s="183"/>
    </row>
    <row r="2" spans="1:33" ht="15.75" x14ac:dyDescent="0.25">
      <c r="A2" s="184" t="s">
        <v>29</v>
      </c>
      <c r="B2" s="184"/>
      <c r="C2" s="184"/>
    </row>
    <row r="3" spans="1:33" ht="15" customHeight="1" x14ac:dyDescent="0.25">
      <c r="Y3" s="182" t="s">
        <v>73</v>
      </c>
      <c r="Z3" s="182"/>
      <c r="AA3" s="182"/>
      <c r="AB3" s="182"/>
      <c r="AC3" s="182"/>
      <c r="AD3" s="182"/>
      <c r="AE3" s="182"/>
    </row>
    <row r="4" spans="1:33" ht="35.25" customHeight="1" x14ac:dyDescent="0.25">
      <c r="N4" s="206" t="s">
        <v>43</v>
      </c>
      <c r="O4" s="206" t="s">
        <v>54</v>
      </c>
      <c r="P4" s="206" t="s">
        <v>44</v>
      </c>
      <c r="Q4" s="206" t="s">
        <v>45</v>
      </c>
      <c r="V4" s="28" t="s">
        <v>55</v>
      </c>
      <c r="Y4" s="165" t="s">
        <v>87</v>
      </c>
      <c r="Z4" s="165" t="s">
        <v>99</v>
      </c>
      <c r="AA4" s="165" t="s">
        <v>91</v>
      </c>
      <c r="AB4" s="165" t="s">
        <v>98</v>
      </c>
      <c r="AC4" s="165"/>
      <c r="AD4" s="165" t="s">
        <v>74</v>
      </c>
      <c r="AE4" s="165" t="s">
        <v>71</v>
      </c>
      <c r="AG4" s="28" t="s">
        <v>35</v>
      </c>
    </row>
    <row r="5" spans="1:33" x14ac:dyDescent="0.25">
      <c r="A5" s="32" t="s">
        <v>0</v>
      </c>
      <c r="B5" s="32" t="s">
        <v>8</v>
      </c>
      <c r="C5" s="33" t="s">
        <v>9</v>
      </c>
      <c r="D5" s="34" t="s">
        <v>3</v>
      </c>
      <c r="E5" s="35"/>
      <c r="F5" s="185" t="s">
        <v>6</v>
      </c>
      <c r="G5" s="186"/>
      <c r="H5" s="186"/>
      <c r="I5" s="186"/>
      <c r="J5" s="187"/>
      <c r="N5" s="97">
        <f>SUM(N6:N45)</f>
        <v>32400</v>
      </c>
      <c r="O5" s="97">
        <f>SUM(O6:O45)</f>
        <v>0</v>
      </c>
      <c r="P5" s="97">
        <f>SUM(P6:P45)</f>
        <v>0</v>
      </c>
      <c r="Q5" s="97">
        <f>SUM(Q6:Q45)</f>
        <v>570</v>
      </c>
      <c r="V5" s="97">
        <f>SUM(N5:Q5)</f>
        <v>32970</v>
      </c>
      <c r="Y5" s="138">
        <f t="shared" ref="Y5:AD5" si="0">SUM(Y6:Y51)</f>
        <v>15600</v>
      </c>
      <c r="Z5" s="138">
        <f t="shared" si="0"/>
        <v>8400</v>
      </c>
      <c r="AA5" s="138">
        <f t="shared" si="0"/>
        <v>8400</v>
      </c>
      <c r="AB5" s="138">
        <f t="shared" si="0"/>
        <v>0</v>
      </c>
      <c r="AC5" s="138">
        <f t="shared" si="0"/>
        <v>0</v>
      </c>
      <c r="AD5" s="138">
        <f t="shared" si="0"/>
        <v>570</v>
      </c>
      <c r="AE5" s="138">
        <f>SUM(Y5:AD5)</f>
        <v>32970</v>
      </c>
      <c r="AG5" s="97">
        <f>V5-AE5</f>
        <v>0</v>
      </c>
    </row>
    <row r="6" spans="1:33" ht="15" customHeight="1" x14ac:dyDescent="0.25">
      <c r="A6" s="131">
        <v>43313</v>
      </c>
      <c r="B6" s="46" t="s">
        <v>88</v>
      </c>
      <c r="C6" s="130"/>
      <c r="D6" s="79">
        <v>700</v>
      </c>
      <c r="E6" s="66"/>
      <c r="F6" s="166"/>
      <c r="G6" s="166"/>
      <c r="H6" s="166"/>
      <c r="I6" s="166"/>
      <c r="J6" s="166"/>
      <c r="N6" s="79">
        <v>700</v>
      </c>
      <c r="AA6" s="79">
        <v>700</v>
      </c>
    </row>
    <row r="7" spans="1:33" ht="15" customHeight="1" x14ac:dyDescent="0.25">
      <c r="A7" s="131">
        <v>43320</v>
      </c>
      <c r="B7" s="46" t="s">
        <v>79</v>
      </c>
      <c r="C7" s="130"/>
      <c r="D7" s="79">
        <v>1300</v>
      </c>
      <c r="E7" s="66"/>
      <c r="F7" s="166"/>
      <c r="G7" s="166"/>
      <c r="H7" s="166"/>
      <c r="I7" s="166"/>
      <c r="J7" s="166"/>
      <c r="N7" s="79">
        <v>1300</v>
      </c>
      <c r="P7" s="48"/>
      <c r="Y7" s="143">
        <v>1300</v>
      </c>
    </row>
    <row r="8" spans="1:33" x14ac:dyDescent="0.25">
      <c r="A8" s="131">
        <v>43332</v>
      </c>
      <c r="B8" s="46" t="s">
        <v>92</v>
      </c>
      <c r="C8" s="47"/>
      <c r="D8" s="79">
        <v>700</v>
      </c>
      <c r="E8" s="66"/>
      <c r="F8" s="166"/>
      <c r="G8" s="166"/>
      <c r="H8" s="166"/>
      <c r="I8" s="166"/>
      <c r="J8" s="166"/>
      <c r="N8" s="79">
        <v>700</v>
      </c>
      <c r="Z8" s="79">
        <v>700</v>
      </c>
    </row>
    <row r="9" spans="1:33" s="162" customFormat="1" x14ac:dyDescent="0.25">
      <c r="A9" s="131">
        <v>43343</v>
      </c>
      <c r="B9" s="46" t="s">
        <v>88</v>
      </c>
      <c r="C9" s="130"/>
      <c r="D9" s="145">
        <v>700</v>
      </c>
      <c r="E9" s="66"/>
      <c r="F9" s="163"/>
      <c r="G9" s="163"/>
      <c r="H9" s="163"/>
      <c r="I9" s="163"/>
      <c r="J9" s="163"/>
      <c r="N9" s="145">
        <v>700</v>
      </c>
      <c r="AA9" s="79">
        <v>700</v>
      </c>
    </row>
    <row r="10" spans="1:33" s="162" customFormat="1" x14ac:dyDescent="0.25">
      <c r="A10" s="131">
        <v>43353</v>
      </c>
      <c r="B10" s="46" t="s">
        <v>79</v>
      </c>
      <c r="C10" s="130"/>
      <c r="D10" s="143">
        <v>1300</v>
      </c>
      <c r="E10" s="66"/>
      <c r="F10" s="163"/>
      <c r="G10" s="163"/>
      <c r="H10" s="163"/>
      <c r="I10" s="163"/>
      <c r="J10" s="163"/>
      <c r="N10" s="143">
        <v>1300</v>
      </c>
      <c r="Y10" s="143">
        <v>1300</v>
      </c>
    </row>
    <row r="11" spans="1:33" s="162" customFormat="1" x14ac:dyDescent="0.25">
      <c r="A11" s="131">
        <v>43361</v>
      </c>
      <c r="B11" s="46" t="s">
        <v>92</v>
      </c>
      <c r="C11" s="130"/>
      <c r="D11" s="79">
        <v>700</v>
      </c>
      <c r="E11" s="66"/>
      <c r="F11" s="163"/>
      <c r="G11" s="163"/>
      <c r="H11" s="163"/>
      <c r="I11" s="163"/>
      <c r="J11" s="163"/>
      <c r="N11" s="79">
        <v>700</v>
      </c>
      <c r="Z11" s="79">
        <v>700</v>
      </c>
    </row>
    <row r="12" spans="1:33" s="162" customFormat="1" x14ac:dyDescent="0.25">
      <c r="A12" s="131">
        <v>43368</v>
      </c>
      <c r="B12" s="46" t="s">
        <v>94</v>
      </c>
      <c r="C12" s="130"/>
      <c r="D12" s="79">
        <v>570</v>
      </c>
      <c r="E12" s="66"/>
      <c r="F12" s="163"/>
      <c r="G12" s="163"/>
      <c r="H12" s="163"/>
      <c r="I12" s="163"/>
      <c r="J12" s="163"/>
      <c r="Q12" s="79">
        <v>570</v>
      </c>
      <c r="AD12" s="79">
        <v>570</v>
      </c>
    </row>
    <row r="13" spans="1:33" s="162" customFormat="1" x14ac:dyDescent="0.25">
      <c r="A13" s="131">
        <v>43376</v>
      </c>
      <c r="B13" s="46" t="s">
        <v>88</v>
      </c>
      <c r="C13" s="130"/>
      <c r="D13" s="79">
        <v>700</v>
      </c>
      <c r="E13" s="66"/>
      <c r="F13" s="163"/>
      <c r="G13" s="163"/>
      <c r="H13" s="163"/>
      <c r="I13" s="163"/>
      <c r="J13" s="163"/>
      <c r="N13" s="79">
        <v>700</v>
      </c>
      <c r="AA13" s="79">
        <v>700</v>
      </c>
    </row>
    <row r="14" spans="1:33" s="162" customFormat="1" x14ac:dyDescent="0.25">
      <c r="A14" s="131">
        <v>43381</v>
      </c>
      <c r="B14" s="46" t="s">
        <v>79</v>
      </c>
      <c r="C14" s="130"/>
      <c r="D14" s="79">
        <v>1300</v>
      </c>
      <c r="E14" s="66"/>
      <c r="F14" s="163"/>
      <c r="G14" s="163"/>
      <c r="H14" s="163"/>
      <c r="I14" s="163"/>
      <c r="J14" s="163"/>
      <c r="N14" s="79">
        <v>1300</v>
      </c>
      <c r="Y14" s="143">
        <v>1300</v>
      </c>
    </row>
    <row r="15" spans="1:33" s="162" customFormat="1" x14ac:dyDescent="0.25">
      <c r="A15" s="131">
        <v>43391</v>
      </c>
      <c r="B15" s="46" t="s">
        <v>92</v>
      </c>
      <c r="C15" s="130"/>
      <c r="D15" s="145">
        <v>700</v>
      </c>
      <c r="E15" s="66"/>
      <c r="F15" s="163"/>
      <c r="G15" s="163"/>
      <c r="H15" s="163"/>
      <c r="I15" s="163"/>
      <c r="J15" s="163"/>
      <c r="N15" s="145">
        <v>700</v>
      </c>
      <c r="Z15" s="79">
        <v>700</v>
      </c>
    </row>
    <row r="16" spans="1:33" s="162" customFormat="1" x14ac:dyDescent="0.25">
      <c r="A16" s="131">
        <v>43404</v>
      </c>
      <c r="B16" s="46" t="s">
        <v>88</v>
      </c>
      <c r="C16" s="130"/>
      <c r="D16" s="101">
        <v>700</v>
      </c>
      <c r="E16" s="66"/>
      <c r="F16" s="163"/>
      <c r="G16" s="163"/>
      <c r="H16" s="163"/>
      <c r="I16" s="163"/>
      <c r="J16" s="163"/>
      <c r="N16" s="101">
        <v>700</v>
      </c>
      <c r="AA16" s="79">
        <v>700</v>
      </c>
    </row>
    <row r="17" spans="1:27" s="162" customFormat="1" x14ac:dyDescent="0.25">
      <c r="A17" s="131">
        <v>43411</v>
      </c>
      <c r="B17" s="141" t="s">
        <v>79</v>
      </c>
      <c r="C17" s="130"/>
      <c r="D17" s="101">
        <v>1300</v>
      </c>
      <c r="E17" s="66"/>
      <c r="F17" s="163"/>
      <c r="G17" s="163"/>
      <c r="H17" s="163"/>
      <c r="I17" s="163"/>
      <c r="J17" s="163"/>
      <c r="N17" s="101">
        <v>1300</v>
      </c>
      <c r="Y17" s="143">
        <v>1300</v>
      </c>
    </row>
    <row r="18" spans="1:27" s="162" customFormat="1" x14ac:dyDescent="0.25">
      <c r="A18" s="131">
        <v>43423</v>
      </c>
      <c r="B18" s="141" t="s">
        <v>92</v>
      </c>
      <c r="C18" s="130"/>
      <c r="D18" s="143">
        <v>700</v>
      </c>
      <c r="E18" s="66"/>
      <c r="F18" s="163"/>
      <c r="G18" s="163"/>
      <c r="H18" s="163"/>
      <c r="I18" s="163"/>
      <c r="J18" s="163"/>
      <c r="N18" s="143">
        <v>700</v>
      </c>
      <c r="Z18" s="79">
        <v>700</v>
      </c>
    </row>
    <row r="19" spans="1:27" s="162" customFormat="1" x14ac:dyDescent="0.25">
      <c r="A19" s="131">
        <v>43435</v>
      </c>
      <c r="B19" s="141" t="s">
        <v>88</v>
      </c>
      <c r="C19" s="130"/>
      <c r="D19" s="79">
        <v>700</v>
      </c>
      <c r="E19" s="66"/>
      <c r="F19" s="163"/>
      <c r="G19" s="163"/>
      <c r="H19" s="163"/>
      <c r="I19" s="163"/>
      <c r="J19" s="163"/>
      <c r="N19" s="79">
        <v>700</v>
      </c>
      <c r="AA19" s="79">
        <v>700</v>
      </c>
    </row>
    <row r="20" spans="1:27" s="162" customFormat="1" x14ac:dyDescent="0.25">
      <c r="A20" s="131">
        <v>43441</v>
      </c>
      <c r="B20" s="141" t="s">
        <v>79</v>
      </c>
      <c r="C20" s="130"/>
      <c r="D20" s="101">
        <v>1300</v>
      </c>
      <c r="E20" s="66"/>
      <c r="F20" s="163"/>
      <c r="G20" s="163"/>
      <c r="H20" s="163"/>
      <c r="I20" s="163"/>
      <c r="J20" s="163"/>
      <c r="N20" s="101">
        <v>1300</v>
      </c>
      <c r="Y20" s="143">
        <v>1300</v>
      </c>
    </row>
    <row r="21" spans="1:27" s="162" customFormat="1" x14ac:dyDescent="0.25">
      <c r="A21" s="131">
        <v>43452</v>
      </c>
      <c r="B21" s="141" t="s">
        <v>92</v>
      </c>
      <c r="C21" s="130"/>
      <c r="D21" s="79">
        <v>700</v>
      </c>
      <c r="E21" s="66"/>
      <c r="F21" s="163"/>
      <c r="G21" s="163"/>
      <c r="H21" s="163"/>
      <c r="I21" s="163"/>
      <c r="J21" s="163"/>
      <c r="N21" s="79">
        <v>700</v>
      </c>
      <c r="Z21" s="79">
        <v>700</v>
      </c>
    </row>
    <row r="22" spans="1:27" s="162" customFormat="1" x14ac:dyDescent="0.25">
      <c r="A22" s="131">
        <v>43739</v>
      </c>
      <c r="B22" s="46" t="s">
        <v>88</v>
      </c>
      <c r="C22" s="130"/>
      <c r="D22" s="79">
        <v>700</v>
      </c>
      <c r="E22" s="66"/>
      <c r="F22" s="163"/>
      <c r="G22" s="163"/>
      <c r="H22" s="163"/>
      <c r="I22" s="163"/>
      <c r="J22" s="163"/>
      <c r="N22" s="79">
        <v>700</v>
      </c>
      <c r="AA22" s="79">
        <v>700</v>
      </c>
    </row>
    <row r="23" spans="1:27" s="162" customFormat="1" x14ac:dyDescent="0.25">
      <c r="A23" s="131">
        <v>43472</v>
      </c>
      <c r="B23" s="129" t="s">
        <v>79</v>
      </c>
      <c r="C23" s="130"/>
      <c r="D23" s="79">
        <v>1300</v>
      </c>
      <c r="E23" s="66"/>
      <c r="F23" s="163"/>
      <c r="G23" s="163"/>
      <c r="H23" s="163"/>
      <c r="I23" s="163"/>
      <c r="J23" s="163"/>
      <c r="N23" s="79">
        <v>1300</v>
      </c>
      <c r="Y23" s="143">
        <v>1300</v>
      </c>
    </row>
    <row r="24" spans="1:27" s="162" customFormat="1" x14ac:dyDescent="0.25">
      <c r="A24" s="131">
        <v>43483</v>
      </c>
      <c r="B24" s="141" t="s">
        <v>92</v>
      </c>
      <c r="C24" s="130"/>
      <c r="D24" s="79">
        <v>700</v>
      </c>
      <c r="E24" s="66"/>
      <c r="F24" s="163"/>
      <c r="G24" s="163"/>
      <c r="H24" s="163"/>
      <c r="I24" s="163"/>
      <c r="J24" s="163"/>
      <c r="N24" s="79">
        <v>700</v>
      </c>
      <c r="Z24" s="79">
        <v>700</v>
      </c>
    </row>
    <row r="25" spans="1:27" s="162" customFormat="1" x14ac:dyDescent="0.25">
      <c r="A25" s="131">
        <v>43493</v>
      </c>
      <c r="B25" s="46" t="s">
        <v>88</v>
      </c>
      <c r="C25" s="130"/>
      <c r="D25" s="48">
        <v>700</v>
      </c>
      <c r="E25" s="66"/>
      <c r="F25" s="163"/>
      <c r="G25" s="163"/>
      <c r="H25" s="163"/>
      <c r="I25" s="163"/>
      <c r="J25" s="163"/>
      <c r="N25" s="48">
        <v>700</v>
      </c>
      <c r="AA25" s="79">
        <v>700</v>
      </c>
    </row>
    <row r="26" spans="1:27" s="162" customFormat="1" x14ac:dyDescent="0.25">
      <c r="A26" s="131">
        <v>43503</v>
      </c>
      <c r="B26" s="46" t="s">
        <v>79</v>
      </c>
      <c r="C26" s="130"/>
      <c r="D26" s="48">
        <v>1300</v>
      </c>
      <c r="E26" s="66"/>
      <c r="F26" s="163"/>
      <c r="G26" s="163"/>
      <c r="H26" s="163"/>
      <c r="I26" s="163"/>
      <c r="J26" s="163"/>
      <c r="N26" s="48">
        <v>1300</v>
      </c>
      <c r="Y26" s="143">
        <v>1300</v>
      </c>
    </row>
    <row r="27" spans="1:27" s="162" customFormat="1" x14ac:dyDescent="0.25">
      <c r="A27" s="157">
        <v>43514</v>
      </c>
      <c r="B27" s="124" t="s">
        <v>92</v>
      </c>
      <c r="C27" s="130"/>
      <c r="D27" s="48">
        <v>700</v>
      </c>
      <c r="E27" s="66"/>
      <c r="F27" s="163"/>
      <c r="G27" s="163"/>
      <c r="H27" s="163"/>
      <c r="I27" s="163"/>
      <c r="J27" s="163"/>
      <c r="N27" s="48">
        <v>700</v>
      </c>
      <c r="Z27" s="79">
        <v>700</v>
      </c>
    </row>
    <row r="28" spans="1:27" s="162" customFormat="1" x14ac:dyDescent="0.25">
      <c r="A28" s="127">
        <v>43524</v>
      </c>
      <c r="B28" s="124" t="s">
        <v>88</v>
      </c>
      <c r="C28" s="130"/>
      <c r="D28" s="155">
        <v>700</v>
      </c>
      <c r="E28" s="66"/>
      <c r="F28" s="163"/>
      <c r="G28" s="163"/>
      <c r="H28" s="163"/>
      <c r="I28" s="163"/>
      <c r="J28" s="163"/>
      <c r="N28" s="155">
        <v>700</v>
      </c>
      <c r="AA28" s="79">
        <v>700</v>
      </c>
    </row>
    <row r="29" spans="1:27" s="162" customFormat="1" x14ac:dyDescent="0.25">
      <c r="A29" s="127">
        <v>43532</v>
      </c>
      <c r="B29" s="124" t="s">
        <v>79</v>
      </c>
      <c r="C29" s="130"/>
      <c r="D29" s="155">
        <v>1300</v>
      </c>
      <c r="E29" s="66"/>
      <c r="F29" s="163"/>
      <c r="G29" s="163"/>
      <c r="H29" s="163"/>
      <c r="I29" s="163"/>
      <c r="J29" s="163"/>
      <c r="N29" s="155">
        <v>1300</v>
      </c>
      <c r="Y29" s="143">
        <v>1300</v>
      </c>
    </row>
    <row r="30" spans="1:27" s="162" customFormat="1" x14ac:dyDescent="0.25">
      <c r="A30" s="127">
        <v>43542</v>
      </c>
      <c r="B30" s="124" t="s">
        <v>92</v>
      </c>
      <c r="C30" s="130"/>
      <c r="D30" s="155">
        <v>700</v>
      </c>
      <c r="E30" s="66"/>
      <c r="F30" s="163"/>
      <c r="G30" s="163"/>
      <c r="H30" s="163"/>
      <c r="I30" s="163"/>
      <c r="J30" s="163"/>
      <c r="N30" s="155">
        <v>700</v>
      </c>
      <c r="Z30" s="79">
        <v>700</v>
      </c>
    </row>
    <row r="31" spans="1:27" s="162" customFormat="1" x14ac:dyDescent="0.25">
      <c r="A31" s="131">
        <v>43556</v>
      </c>
      <c r="B31" s="46" t="s">
        <v>88</v>
      </c>
      <c r="C31" s="130"/>
      <c r="D31" s="101">
        <v>700</v>
      </c>
      <c r="E31" s="66"/>
      <c r="F31" s="163"/>
      <c r="G31" s="163"/>
      <c r="H31" s="163"/>
      <c r="I31" s="163"/>
      <c r="J31" s="163"/>
      <c r="N31" s="101">
        <v>700</v>
      </c>
      <c r="AA31" s="79">
        <v>700</v>
      </c>
    </row>
    <row r="32" spans="1:27" s="162" customFormat="1" x14ac:dyDescent="0.25">
      <c r="A32" s="131">
        <v>43563</v>
      </c>
      <c r="B32" s="46" t="s">
        <v>79</v>
      </c>
      <c r="C32" s="130"/>
      <c r="D32" s="101">
        <v>1300</v>
      </c>
      <c r="E32" s="66"/>
      <c r="F32" s="163"/>
      <c r="G32" s="163"/>
      <c r="H32" s="163"/>
      <c r="I32" s="163"/>
      <c r="J32" s="163"/>
      <c r="N32" s="101">
        <v>1300</v>
      </c>
      <c r="Y32" s="143">
        <v>1300</v>
      </c>
    </row>
    <row r="33" spans="1:27" s="162" customFormat="1" x14ac:dyDescent="0.25">
      <c r="A33" s="131">
        <v>43573</v>
      </c>
      <c r="B33" s="164" t="s">
        <v>92</v>
      </c>
      <c r="C33" s="130"/>
      <c r="D33" s="101">
        <v>700</v>
      </c>
      <c r="E33" s="66"/>
      <c r="F33" s="163"/>
      <c r="G33" s="163"/>
      <c r="H33" s="163"/>
      <c r="I33" s="163"/>
      <c r="J33" s="163"/>
      <c r="N33" s="101">
        <v>700</v>
      </c>
      <c r="Z33" s="79">
        <v>700</v>
      </c>
    </row>
    <row r="34" spans="1:27" s="162" customFormat="1" x14ac:dyDescent="0.25">
      <c r="A34" s="131">
        <v>43586</v>
      </c>
      <c r="B34" s="46" t="s">
        <v>88</v>
      </c>
      <c r="C34" s="130"/>
      <c r="D34" s="101">
        <v>700</v>
      </c>
      <c r="E34" s="66"/>
      <c r="F34" s="163"/>
      <c r="G34" s="163"/>
      <c r="H34" s="163"/>
      <c r="I34" s="163"/>
      <c r="J34" s="163"/>
      <c r="N34" s="101">
        <v>700</v>
      </c>
      <c r="AA34" s="79">
        <v>700</v>
      </c>
    </row>
    <row r="35" spans="1:27" s="162" customFormat="1" x14ac:dyDescent="0.25">
      <c r="A35" s="131">
        <v>43592</v>
      </c>
      <c r="B35" s="46" t="s">
        <v>79</v>
      </c>
      <c r="C35" s="130"/>
      <c r="D35" s="101">
        <v>1300</v>
      </c>
      <c r="E35" s="66"/>
      <c r="F35" s="163"/>
      <c r="G35" s="163"/>
      <c r="H35" s="163"/>
      <c r="I35" s="163"/>
      <c r="J35" s="163"/>
      <c r="N35" s="101">
        <v>1300</v>
      </c>
      <c r="Y35" s="143">
        <v>1300</v>
      </c>
    </row>
    <row r="36" spans="1:27" s="162" customFormat="1" x14ac:dyDescent="0.25">
      <c r="A36" s="131">
        <v>43605</v>
      </c>
      <c r="B36" s="144" t="s">
        <v>92</v>
      </c>
      <c r="C36" s="130"/>
      <c r="D36" s="101">
        <v>700</v>
      </c>
      <c r="E36" s="66"/>
      <c r="F36" s="163"/>
      <c r="G36" s="163"/>
      <c r="H36" s="163"/>
      <c r="I36" s="163"/>
      <c r="J36" s="163"/>
      <c r="N36" s="101">
        <v>700</v>
      </c>
      <c r="Z36" s="79">
        <v>700</v>
      </c>
    </row>
    <row r="37" spans="1:27" s="162" customFormat="1" x14ac:dyDescent="0.25">
      <c r="A37" s="131">
        <v>43613</v>
      </c>
      <c r="B37" s="144" t="s">
        <v>88</v>
      </c>
      <c r="C37" s="130"/>
      <c r="D37" s="101">
        <v>700</v>
      </c>
      <c r="E37" s="66"/>
      <c r="F37" s="163"/>
      <c r="G37" s="163"/>
      <c r="H37" s="163"/>
      <c r="I37" s="163"/>
      <c r="J37" s="163"/>
      <c r="N37" s="101">
        <v>700</v>
      </c>
      <c r="AA37" s="79">
        <v>700</v>
      </c>
    </row>
    <row r="38" spans="1:27" s="162" customFormat="1" x14ac:dyDescent="0.25">
      <c r="A38" s="131">
        <v>43626</v>
      </c>
      <c r="B38" s="46" t="s">
        <v>79</v>
      </c>
      <c r="C38" s="130"/>
      <c r="D38" s="101">
        <v>1300</v>
      </c>
      <c r="E38" s="66"/>
      <c r="F38" s="163"/>
      <c r="G38" s="163"/>
      <c r="H38" s="163"/>
      <c r="I38" s="163"/>
      <c r="J38" s="163"/>
      <c r="N38" s="101">
        <v>1300</v>
      </c>
      <c r="Y38" s="143">
        <v>1300</v>
      </c>
    </row>
    <row r="39" spans="1:27" s="162" customFormat="1" x14ac:dyDescent="0.25">
      <c r="A39" s="131">
        <v>43634</v>
      </c>
      <c r="B39" s="46" t="s">
        <v>92</v>
      </c>
      <c r="C39" s="130"/>
      <c r="D39" s="101">
        <v>700</v>
      </c>
      <c r="E39" s="66"/>
      <c r="F39" s="163"/>
      <c r="G39" s="163"/>
      <c r="H39" s="163"/>
      <c r="I39" s="163"/>
      <c r="J39" s="163"/>
      <c r="N39" s="101">
        <v>700</v>
      </c>
      <c r="Z39" s="79">
        <v>700</v>
      </c>
    </row>
    <row r="40" spans="1:27" s="162" customFormat="1" x14ac:dyDescent="0.25">
      <c r="A40" s="131">
        <v>43647</v>
      </c>
      <c r="B40" s="46" t="s">
        <v>88</v>
      </c>
      <c r="C40" s="130"/>
      <c r="D40" s="101">
        <v>700</v>
      </c>
      <c r="E40" s="66"/>
      <c r="F40" s="163"/>
      <c r="G40" s="163"/>
      <c r="H40" s="163"/>
      <c r="I40" s="163"/>
      <c r="J40" s="163"/>
      <c r="N40" s="101">
        <v>700</v>
      </c>
      <c r="AA40" s="79">
        <v>700</v>
      </c>
    </row>
    <row r="41" spans="1:27" x14ac:dyDescent="0.25">
      <c r="A41" s="131">
        <v>43654</v>
      </c>
      <c r="B41" s="46" t="s">
        <v>79</v>
      </c>
      <c r="C41" s="47"/>
      <c r="D41" s="101">
        <v>1300</v>
      </c>
      <c r="E41" s="66"/>
      <c r="F41" s="166"/>
      <c r="G41" s="166"/>
      <c r="H41" s="166"/>
      <c r="I41" s="166"/>
      <c r="J41" s="166"/>
      <c r="N41" s="101">
        <v>1300</v>
      </c>
      <c r="Y41" s="143">
        <v>1300</v>
      </c>
    </row>
    <row r="42" spans="1:27" s="36" customFormat="1" x14ac:dyDescent="0.25">
      <c r="A42" s="131">
        <v>43664</v>
      </c>
      <c r="B42" s="46" t="s">
        <v>92</v>
      </c>
      <c r="C42" s="47"/>
      <c r="D42" s="101">
        <v>700</v>
      </c>
      <c r="E42" s="66"/>
      <c r="F42" s="166"/>
      <c r="G42" s="166"/>
      <c r="H42" s="166"/>
      <c r="I42" s="166"/>
      <c r="J42" s="166"/>
      <c r="N42" s="101">
        <v>700</v>
      </c>
      <c r="Z42" s="79">
        <v>700</v>
      </c>
    </row>
    <row r="43" spans="1:27" s="61" customFormat="1" x14ac:dyDescent="0.25">
      <c r="A43" s="64"/>
      <c r="B43" s="46"/>
      <c r="C43" s="130"/>
      <c r="D43" s="48"/>
      <c r="E43" s="66"/>
      <c r="F43" s="166"/>
      <c r="G43" s="166"/>
      <c r="H43" s="166"/>
      <c r="I43" s="166"/>
      <c r="J43" s="166"/>
    </row>
    <row r="44" spans="1:27" s="74" customFormat="1" x14ac:dyDescent="0.25">
      <c r="A44" s="64"/>
      <c r="B44" s="46"/>
      <c r="C44" s="47"/>
      <c r="D44" s="48"/>
      <c r="E44" s="66"/>
      <c r="F44" s="166"/>
      <c r="G44" s="166"/>
      <c r="H44" s="166"/>
      <c r="I44" s="166"/>
      <c r="J44" s="166"/>
    </row>
    <row r="45" spans="1:27" s="77" customFormat="1" x14ac:dyDescent="0.25">
      <c r="A45" s="64"/>
      <c r="B45" s="46"/>
      <c r="C45" s="47"/>
      <c r="D45" s="48"/>
      <c r="E45" s="66"/>
      <c r="F45" s="166"/>
      <c r="G45" s="166"/>
      <c r="H45" s="166"/>
      <c r="I45" s="166"/>
      <c r="J45" s="166"/>
    </row>
    <row r="46" spans="1:27" x14ac:dyDescent="0.25">
      <c r="A46" s="65"/>
      <c r="C46" s="37"/>
      <c r="E46" s="51"/>
      <c r="F46" s="38"/>
      <c r="G46" s="38"/>
      <c r="H46" s="38"/>
      <c r="I46" s="38"/>
      <c r="J46" s="38"/>
    </row>
    <row r="47" spans="1:27" ht="15.75" thickBot="1" x14ac:dyDescent="0.3">
      <c r="A47" s="29"/>
      <c r="B47" s="39" t="s">
        <v>7</v>
      </c>
      <c r="C47" s="40"/>
      <c r="D47" s="41">
        <f>SUM(D5:D46)</f>
        <v>32970</v>
      </c>
      <c r="E47" s="42"/>
      <c r="F47" s="97"/>
    </row>
    <row r="48" spans="1:27" ht="15.75" thickTop="1" x14ac:dyDescent="0.25">
      <c r="A48" s="29"/>
    </row>
    <row r="52" spans="4:7" x14ac:dyDescent="0.25">
      <c r="D52" s="52"/>
      <c r="E52" s="53"/>
      <c r="F52" s="54"/>
      <c r="G52" s="54"/>
    </row>
    <row r="53" spans="4:7" x14ac:dyDescent="0.25">
      <c r="D53" s="52"/>
      <c r="E53" s="53"/>
      <c r="F53" s="54"/>
      <c r="G53" s="54"/>
    </row>
    <row r="54" spans="4:7" x14ac:dyDescent="0.25">
      <c r="D54" s="52"/>
      <c r="E54" s="53"/>
      <c r="F54" s="54"/>
      <c r="G54" s="54"/>
    </row>
    <row r="55" spans="4:7" x14ac:dyDescent="0.25">
      <c r="D55" s="52"/>
      <c r="E55" s="53"/>
      <c r="F55" s="54"/>
      <c r="G55" s="54"/>
    </row>
    <row r="56" spans="4:7" x14ac:dyDescent="0.25">
      <c r="D56" s="52"/>
      <c r="E56" s="53"/>
      <c r="F56" s="54"/>
      <c r="G56" s="54"/>
    </row>
    <row r="78" spans="6:6" x14ac:dyDescent="0.25">
      <c r="F78" s="28">
        <f>H73+H74+H75</f>
        <v>0</v>
      </c>
    </row>
  </sheetData>
  <mergeCells count="4">
    <mergeCell ref="Y3:AE3"/>
    <mergeCell ref="A1:C1"/>
    <mergeCell ref="A2:C2"/>
    <mergeCell ref="F5:J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V75"/>
  <sheetViews>
    <sheetView topLeftCell="D1" workbookViewId="0">
      <pane ySplit="5" topLeftCell="A6" activePane="bottomLeft" state="frozen"/>
      <selection activeCell="D51" sqref="D51"/>
      <selection pane="bottomLeft" activeCell="F7" sqref="F7"/>
    </sheetView>
  </sheetViews>
  <sheetFormatPr defaultRowHeight="15" x14ac:dyDescent="0.25"/>
  <cols>
    <col min="1" max="1" width="10.7109375" style="3" bestFit="1" customWidth="1"/>
    <col min="2" max="2" width="40.7109375" style="2" customWidth="1"/>
    <col min="3" max="3" width="10" style="3" customWidth="1"/>
    <col min="4" max="6" width="12.85546875" style="4" customWidth="1"/>
    <col min="7" max="7" width="9.140625" style="2"/>
    <col min="8" max="8" width="7.85546875" style="2" customWidth="1"/>
    <col min="9" max="9" width="4.140625" style="2" customWidth="1"/>
    <col min="10" max="10" width="4.42578125" style="2" customWidth="1"/>
    <col min="11" max="16384" width="9.140625" style="2"/>
  </cols>
  <sheetData>
    <row r="1" spans="1:22" ht="18.75" x14ac:dyDescent="0.3">
      <c r="A1" s="22" t="s">
        <v>75</v>
      </c>
    </row>
    <row r="2" spans="1:22" x14ac:dyDescent="0.25">
      <c r="A2" s="75" t="s">
        <v>30</v>
      </c>
      <c r="C2" s="12"/>
    </row>
    <row r="3" spans="1:22" x14ac:dyDescent="0.25">
      <c r="A3" s="76"/>
    </row>
    <row r="4" spans="1:22" ht="35.25" customHeight="1" x14ac:dyDescent="0.25"/>
    <row r="5" spans="1:22" x14ac:dyDescent="0.25">
      <c r="A5" s="6" t="s">
        <v>0</v>
      </c>
      <c r="B5" s="5" t="s">
        <v>8</v>
      </c>
      <c r="C5" s="6" t="s">
        <v>11</v>
      </c>
      <c r="D5" s="23" t="s">
        <v>12</v>
      </c>
      <c r="E5" s="23" t="s">
        <v>13</v>
      </c>
      <c r="F5" s="7" t="s">
        <v>14</v>
      </c>
      <c r="G5" s="193" t="s">
        <v>6</v>
      </c>
      <c r="H5" s="194"/>
      <c r="I5" s="194"/>
      <c r="J5" s="194"/>
      <c r="M5" s="2" t="s">
        <v>16</v>
      </c>
      <c r="N5" s="2" t="s">
        <v>28</v>
      </c>
      <c r="O5" s="2" t="s">
        <v>69</v>
      </c>
      <c r="P5" s="2" t="s">
        <v>64</v>
      </c>
      <c r="Q5" s="2" t="s">
        <v>45</v>
      </c>
      <c r="V5" s="2" t="s">
        <v>34</v>
      </c>
    </row>
    <row r="6" spans="1:22" x14ac:dyDescent="0.25">
      <c r="A6" s="115">
        <v>43313</v>
      </c>
      <c r="B6" s="116" t="s">
        <v>17</v>
      </c>
      <c r="C6" s="117"/>
      <c r="D6" s="118">
        <f>OpenPetty</f>
        <v>230</v>
      </c>
      <c r="E6" s="118">
        <v>0</v>
      </c>
      <c r="F6" s="118">
        <f>D6</f>
        <v>230</v>
      </c>
      <c r="G6" s="188"/>
      <c r="H6" s="188"/>
      <c r="I6" s="188"/>
      <c r="J6" s="188"/>
      <c r="M6" s="122">
        <f>SUM(M7:M45)</f>
        <v>0</v>
      </c>
      <c r="N6" s="122">
        <f t="shared" ref="N6:Q6" si="0">SUM(N7:N45)</f>
        <v>0</v>
      </c>
      <c r="O6" s="122">
        <f t="shared" si="0"/>
        <v>84.37</v>
      </c>
      <c r="P6" s="122">
        <f t="shared" si="0"/>
        <v>105</v>
      </c>
      <c r="Q6" s="122">
        <f t="shared" si="0"/>
        <v>0</v>
      </c>
      <c r="R6" s="122"/>
      <c r="S6" s="122"/>
      <c r="T6" s="122"/>
      <c r="U6" s="122"/>
      <c r="V6" s="122">
        <f>SUM(M6:U6)</f>
        <v>189.37</v>
      </c>
    </row>
    <row r="7" spans="1:22" x14ac:dyDescent="0.25">
      <c r="A7" s="119">
        <v>43536</v>
      </c>
      <c r="B7" s="120" t="s">
        <v>76</v>
      </c>
      <c r="C7" s="121"/>
      <c r="D7" s="122"/>
      <c r="E7" s="122">
        <v>105</v>
      </c>
      <c r="F7" s="122">
        <f t="shared" ref="F7:F42" si="1">F6-E7+D7</f>
        <v>125</v>
      </c>
      <c r="G7" s="201"/>
      <c r="H7" s="202"/>
      <c r="I7" s="202"/>
      <c r="J7" s="202"/>
      <c r="M7" s="122"/>
      <c r="N7" s="122"/>
      <c r="O7" s="122"/>
      <c r="P7" s="122">
        <v>105</v>
      </c>
      <c r="Q7" s="122"/>
      <c r="R7" s="122"/>
      <c r="S7" s="122"/>
      <c r="T7" s="122"/>
      <c r="U7" s="122"/>
      <c r="V7" s="122"/>
    </row>
    <row r="8" spans="1:22" x14ac:dyDescent="0.25">
      <c r="A8" s="119">
        <v>43542</v>
      </c>
      <c r="B8" s="120" t="s">
        <v>77</v>
      </c>
      <c r="C8" s="121"/>
      <c r="D8" s="122"/>
      <c r="E8" s="122">
        <v>12.44</v>
      </c>
      <c r="F8" s="122">
        <f t="shared" si="1"/>
        <v>112.56</v>
      </c>
      <c r="G8" s="191"/>
      <c r="H8" s="188"/>
      <c r="I8" s="188"/>
      <c r="J8" s="188"/>
      <c r="M8" s="122"/>
      <c r="N8" s="122"/>
      <c r="O8" s="122">
        <v>12.44</v>
      </c>
      <c r="P8" s="122"/>
      <c r="Q8" s="122"/>
      <c r="R8" s="122"/>
      <c r="S8" s="122"/>
      <c r="T8" s="122"/>
      <c r="U8" s="122"/>
      <c r="V8" s="122"/>
    </row>
    <row r="9" spans="1:22" x14ac:dyDescent="0.25">
      <c r="A9" s="119">
        <v>43399</v>
      </c>
      <c r="B9" s="120" t="s">
        <v>78</v>
      </c>
      <c r="C9" s="121"/>
      <c r="D9" s="122"/>
      <c r="E9" s="122">
        <v>64.98</v>
      </c>
      <c r="F9" s="122">
        <f t="shared" si="1"/>
        <v>47.58</v>
      </c>
      <c r="G9" s="195"/>
      <c r="H9" s="196"/>
      <c r="I9" s="196"/>
      <c r="J9" s="197"/>
      <c r="M9" s="122"/>
      <c r="N9" s="122"/>
      <c r="O9" s="122">
        <v>64.98</v>
      </c>
      <c r="P9" s="122"/>
      <c r="Q9" s="122"/>
      <c r="R9" s="122"/>
      <c r="S9" s="122"/>
      <c r="T9" s="122"/>
      <c r="U9" s="122"/>
      <c r="V9" s="122"/>
    </row>
    <row r="10" spans="1:22" x14ac:dyDescent="0.25">
      <c r="A10" s="119">
        <v>43327</v>
      </c>
      <c r="B10" s="120" t="s">
        <v>68</v>
      </c>
      <c r="C10" s="121"/>
      <c r="D10" s="122"/>
      <c r="E10" s="122">
        <v>6.95</v>
      </c>
      <c r="F10" s="122">
        <f t="shared" si="1"/>
        <v>40.629999999999995</v>
      </c>
      <c r="G10" s="195"/>
      <c r="H10" s="196"/>
      <c r="I10" s="196"/>
      <c r="J10" s="197"/>
      <c r="M10" s="122"/>
      <c r="N10" s="122"/>
      <c r="O10" s="122">
        <v>6.95</v>
      </c>
      <c r="P10" s="122"/>
      <c r="Q10" s="122"/>
      <c r="R10" s="122"/>
      <c r="S10" s="122"/>
      <c r="T10" s="122"/>
      <c r="U10" s="122"/>
      <c r="V10" s="122"/>
    </row>
    <row r="11" spans="1:22" x14ac:dyDescent="0.25">
      <c r="A11" s="119"/>
      <c r="B11" s="120"/>
      <c r="C11" s="121"/>
      <c r="D11" s="122"/>
      <c r="E11" s="122"/>
      <c r="F11" s="122">
        <f t="shared" si="1"/>
        <v>40.629999999999995</v>
      </c>
      <c r="G11" s="198"/>
      <c r="H11" s="199"/>
      <c r="I11" s="199"/>
      <c r="J11" s="200"/>
      <c r="M11" s="122"/>
      <c r="N11" s="122"/>
      <c r="O11" s="122"/>
      <c r="P11" s="122"/>
      <c r="Q11" s="122"/>
      <c r="R11" s="122"/>
      <c r="S11" s="122"/>
      <c r="T11" s="122"/>
      <c r="U11" s="122"/>
      <c r="V11" s="122"/>
    </row>
    <row r="12" spans="1:22" x14ac:dyDescent="0.25">
      <c r="A12" s="119"/>
      <c r="B12" s="120"/>
      <c r="C12" s="121"/>
      <c r="D12" s="122"/>
      <c r="E12" s="122"/>
      <c r="F12" s="122">
        <f t="shared" si="1"/>
        <v>40.629999999999995</v>
      </c>
      <c r="G12" s="191"/>
      <c r="H12" s="188"/>
      <c r="I12" s="188"/>
      <c r="J12" s="188"/>
      <c r="M12" s="122"/>
      <c r="N12" s="122"/>
      <c r="O12" s="122"/>
      <c r="P12" s="122"/>
      <c r="Q12" s="122"/>
      <c r="R12" s="122"/>
      <c r="S12" s="122"/>
      <c r="T12" s="122"/>
      <c r="U12" s="122"/>
      <c r="V12" s="122"/>
    </row>
    <row r="13" spans="1:22" x14ac:dyDescent="0.25">
      <c r="A13" s="119"/>
      <c r="B13" s="120"/>
      <c r="C13" s="121"/>
      <c r="D13" s="122"/>
      <c r="E13" s="122"/>
      <c r="F13" s="122">
        <f t="shared" si="1"/>
        <v>40.629999999999995</v>
      </c>
      <c r="G13" s="188"/>
      <c r="H13" s="188"/>
      <c r="I13" s="188"/>
      <c r="J13" s="188"/>
      <c r="M13" s="122"/>
      <c r="N13" s="122"/>
      <c r="O13" s="122"/>
      <c r="P13" s="122"/>
      <c r="Q13" s="122"/>
      <c r="R13" s="122"/>
      <c r="S13" s="122"/>
      <c r="T13" s="122"/>
      <c r="U13" s="122"/>
      <c r="V13" s="122"/>
    </row>
    <row r="14" spans="1:22" x14ac:dyDescent="0.25">
      <c r="A14" s="119"/>
      <c r="B14" s="120"/>
      <c r="C14" s="121"/>
      <c r="D14" s="122"/>
      <c r="E14" s="122"/>
      <c r="F14" s="122">
        <f t="shared" si="1"/>
        <v>40.629999999999995</v>
      </c>
      <c r="G14" s="191"/>
      <c r="H14" s="188"/>
      <c r="I14" s="188"/>
      <c r="J14" s="188"/>
      <c r="M14" s="122"/>
      <c r="N14" s="122"/>
      <c r="O14" s="122"/>
      <c r="P14" s="122"/>
      <c r="Q14" s="122"/>
      <c r="R14" s="122"/>
      <c r="S14" s="122"/>
      <c r="T14" s="122"/>
      <c r="U14" s="122"/>
      <c r="V14" s="122"/>
    </row>
    <row r="15" spans="1:22" x14ac:dyDescent="0.25">
      <c r="A15" s="119"/>
      <c r="B15" s="120"/>
      <c r="C15" s="121"/>
      <c r="D15" s="122"/>
      <c r="E15" s="122"/>
      <c r="F15" s="122">
        <f t="shared" si="1"/>
        <v>40.629999999999995</v>
      </c>
      <c r="G15" s="188"/>
      <c r="H15" s="188"/>
      <c r="I15" s="188"/>
      <c r="J15" s="188"/>
      <c r="M15" s="122"/>
      <c r="N15" s="122"/>
      <c r="O15" s="122"/>
      <c r="P15" s="122"/>
      <c r="Q15" s="122"/>
      <c r="R15" s="122"/>
      <c r="S15" s="122"/>
      <c r="T15" s="122"/>
      <c r="U15" s="122"/>
      <c r="V15" s="122"/>
    </row>
    <row r="16" spans="1:22" x14ac:dyDescent="0.25">
      <c r="A16" s="119"/>
      <c r="B16" s="120"/>
      <c r="C16" s="121"/>
      <c r="D16" s="122"/>
      <c r="E16" s="122"/>
      <c r="F16" s="122">
        <f t="shared" si="1"/>
        <v>40.629999999999995</v>
      </c>
      <c r="G16" s="188"/>
      <c r="H16" s="188"/>
      <c r="I16" s="188"/>
      <c r="J16" s="188"/>
      <c r="M16" s="122"/>
      <c r="N16" s="122"/>
      <c r="O16" s="122"/>
      <c r="P16" s="122"/>
      <c r="Q16" s="122"/>
      <c r="R16" s="122"/>
      <c r="S16" s="122"/>
      <c r="T16" s="122"/>
      <c r="U16" s="122"/>
      <c r="V16" s="122"/>
    </row>
    <row r="17" spans="1:22" x14ac:dyDescent="0.25">
      <c r="A17" s="119"/>
      <c r="B17" s="120"/>
      <c r="C17" s="121"/>
      <c r="D17" s="122"/>
      <c r="E17" s="122"/>
      <c r="F17" s="122">
        <f t="shared" si="1"/>
        <v>40.629999999999995</v>
      </c>
      <c r="G17" s="191"/>
      <c r="H17" s="188"/>
      <c r="I17" s="188"/>
      <c r="J17" s="188"/>
      <c r="M17" s="122"/>
      <c r="N17" s="122"/>
      <c r="O17" s="122"/>
      <c r="P17" s="122"/>
      <c r="Q17" s="122"/>
      <c r="R17" s="122"/>
      <c r="S17" s="122"/>
      <c r="T17" s="122"/>
      <c r="U17" s="122"/>
      <c r="V17" s="122"/>
    </row>
    <row r="18" spans="1:22" x14ac:dyDescent="0.25">
      <c r="A18" s="119"/>
      <c r="B18" s="120"/>
      <c r="C18" s="121"/>
      <c r="D18" s="122"/>
      <c r="E18" s="122"/>
      <c r="F18" s="122">
        <f t="shared" si="1"/>
        <v>40.629999999999995</v>
      </c>
      <c r="G18" s="188"/>
      <c r="H18" s="188"/>
      <c r="I18" s="188"/>
      <c r="J18" s="188"/>
      <c r="M18" s="122"/>
      <c r="N18" s="122"/>
      <c r="O18" s="122"/>
      <c r="P18" s="122"/>
      <c r="Q18" s="122"/>
      <c r="R18" s="122"/>
      <c r="S18" s="122"/>
      <c r="T18" s="122"/>
      <c r="U18" s="122"/>
      <c r="V18" s="122"/>
    </row>
    <row r="19" spans="1:22" x14ac:dyDescent="0.25">
      <c r="A19" s="119"/>
      <c r="B19" s="120"/>
      <c r="C19" s="121"/>
      <c r="D19" s="122"/>
      <c r="E19" s="122"/>
      <c r="F19" s="122">
        <f t="shared" si="1"/>
        <v>40.629999999999995</v>
      </c>
      <c r="G19" s="188"/>
      <c r="H19" s="188"/>
      <c r="I19" s="188"/>
      <c r="J19" s="188"/>
      <c r="M19" s="122"/>
      <c r="N19" s="122"/>
      <c r="O19" s="122"/>
      <c r="P19" s="122"/>
      <c r="Q19" s="122"/>
      <c r="R19" s="122"/>
      <c r="S19" s="122"/>
      <c r="T19" s="122"/>
      <c r="U19" s="122"/>
      <c r="V19" s="122"/>
    </row>
    <row r="20" spans="1:22" x14ac:dyDescent="0.25">
      <c r="A20" s="119"/>
      <c r="B20" s="120"/>
      <c r="C20" s="121"/>
      <c r="D20" s="122"/>
      <c r="E20" s="122"/>
      <c r="F20" s="122">
        <f t="shared" si="1"/>
        <v>40.629999999999995</v>
      </c>
      <c r="G20" s="191"/>
      <c r="H20" s="188"/>
      <c r="I20" s="188"/>
      <c r="J20" s="188"/>
      <c r="M20" s="122"/>
      <c r="N20" s="122"/>
      <c r="O20" s="122"/>
      <c r="P20" s="122"/>
      <c r="Q20" s="122"/>
      <c r="R20" s="122"/>
      <c r="S20" s="122"/>
      <c r="T20" s="122"/>
      <c r="U20" s="122"/>
      <c r="V20" s="122"/>
    </row>
    <row r="21" spans="1:22" x14ac:dyDescent="0.25">
      <c r="A21" s="119"/>
      <c r="B21" s="120"/>
      <c r="C21" s="121"/>
      <c r="D21" s="122"/>
      <c r="E21" s="122"/>
      <c r="F21" s="122">
        <f t="shared" si="1"/>
        <v>40.629999999999995</v>
      </c>
      <c r="G21" s="188"/>
      <c r="H21" s="188"/>
      <c r="I21" s="188"/>
      <c r="J21" s="188"/>
      <c r="M21" s="122"/>
      <c r="N21" s="122"/>
      <c r="O21" s="122"/>
      <c r="P21" s="122"/>
      <c r="Q21" s="122"/>
      <c r="R21" s="122"/>
      <c r="S21" s="122"/>
      <c r="T21" s="122"/>
      <c r="U21" s="122"/>
      <c r="V21" s="122"/>
    </row>
    <row r="22" spans="1:22" x14ac:dyDescent="0.25">
      <c r="A22" s="119"/>
      <c r="B22" s="120"/>
      <c r="C22" s="121"/>
      <c r="D22" s="122"/>
      <c r="E22" s="122"/>
      <c r="F22" s="122">
        <f t="shared" si="1"/>
        <v>40.629999999999995</v>
      </c>
      <c r="G22" s="191"/>
      <c r="H22" s="188"/>
      <c r="I22" s="188"/>
      <c r="J22" s="188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1:22" x14ac:dyDescent="0.25">
      <c r="A23" s="119"/>
      <c r="B23" s="120"/>
      <c r="C23" s="121"/>
      <c r="D23" s="122"/>
      <c r="E23" s="122"/>
      <c r="F23" s="122">
        <f t="shared" si="1"/>
        <v>40.629999999999995</v>
      </c>
      <c r="G23" s="188"/>
      <c r="H23" s="188"/>
      <c r="I23" s="188"/>
      <c r="J23" s="188"/>
      <c r="M23" s="122"/>
      <c r="N23" s="122"/>
      <c r="O23" s="122"/>
      <c r="P23" s="122"/>
      <c r="Q23" s="122"/>
      <c r="R23" s="122"/>
      <c r="S23" s="122"/>
      <c r="T23" s="122"/>
      <c r="U23" s="122"/>
      <c r="V23" s="122"/>
    </row>
    <row r="24" spans="1:22" x14ac:dyDescent="0.25">
      <c r="A24" s="119"/>
      <c r="B24" s="120"/>
      <c r="C24" s="121"/>
      <c r="D24" s="122"/>
      <c r="E24" s="122"/>
      <c r="F24" s="122">
        <f t="shared" si="1"/>
        <v>40.629999999999995</v>
      </c>
      <c r="G24" s="203"/>
      <c r="H24" s="203"/>
      <c r="I24" s="203"/>
      <c r="J24" s="203"/>
      <c r="M24" s="122"/>
      <c r="N24" s="122"/>
      <c r="O24" s="122"/>
      <c r="P24" s="122"/>
      <c r="Q24" s="122"/>
      <c r="R24" s="122"/>
      <c r="S24" s="122"/>
      <c r="T24" s="122"/>
      <c r="U24" s="122"/>
      <c r="V24" s="122"/>
    </row>
    <row r="25" spans="1:22" x14ac:dyDescent="0.25">
      <c r="A25" s="119"/>
      <c r="B25" s="120"/>
      <c r="C25" s="121"/>
      <c r="D25" s="122"/>
      <c r="E25" s="122"/>
      <c r="F25" s="122">
        <f t="shared" si="1"/>
        <v>40.629999999999995</v>
      </c>
      <c r="G25" s="191"/>
      <c r="H25" s="188"/>
      <c r="I25" s="188"/>
      <c r="J25" s="188"/>
      <c r="M25" s="122"/>
      <c r="N25" s="122"/>
      <c r="O25" s="122"/>
      <c r="P25" s="122"/>
      <c r="Q25" s="122"/>
      <c r="R25" s="122"/>
      <c r="S25" s="122"/>
      <c r="T25" s="122"/>
      <c r="U25" s="122"/>
      <c r="V25" s="122"/>
    </row>
    <row r="26" spans="1:22" x14ac:dyDescent="0.25">
      <c r="A26" s="119"/>
      <c r="B26" s="120"/>
      <c r="C26" s="121"/>
      <c r="D26" s="122"/>
      <c r="E26" s="122"/>
      <c r="F26" s="122">
        <f t="shared" si="1"/>
        <v>40.629999999999995</v>
      </c>
      <c r="G26" s="188"/>
      <c r="H26" s="188"/>
      <c r="I26" s="188"/>
      <c r="J26" s="188"/>
      <c r="M26" s="122"/>
      <c r="N26" s="122"/>
      <c r="O26" s="122"/>
      <c r="P26" s="122"/>
      <c r="Q26" s="122"/>
      <c r="R26" s="122"/>
      <c r="S26" s="122"/>
      <c r="T26" s="122"/>
      <c r="U26" s="122"/>
      <c r="V26" s="122"/>
    </row>
    <row r="27" spans="1:22" x14ac:dyDescent="0.25">
      <c r="A27" s="119"/>
      <c r="B27" s="120"/>
      <c r="C27" s="121"/>
      <c r="D27" s="122"/>
      <c r="E27" s="122"/>
      <c r="F27" s="122">
        <f t="shared" si="1"/>
        <v>40.629999999999995</v>
      </c>
      <c r="G27" s="188"/>
      <c r="H27" s="188"/>
      <c r="I27" s="188"/>
      <c r="J27" s="188"/>
      <c r="M27" s="122"/>
      <c r="N27" s="122"/>
      <c r="O27" s="122"/>
      <c r="P27" s="122"/>
      <c r="Q27" s="122"/>
      <c r="R27" s="122"/>
      <c r="S27" s="122"/>
      <c r="T27" s="122"/>
      <c r="U27" s="122"/>
      <c r="V27" s="122"/>
    </row>
    <row r="28" spans="1:22" x14ac:dyDescent="0.25">
      <c r="A28" s="119"/>
      <c r="B28" s="120"/>
      <c r="C28" s="121"/>
      <c r="D28" s="122"/>
      <c r="E28" s="122"/>
      <c r="F28" s="122">
        <f t="shared" si="1"/>
        <v>40.629999999999995</v>
      </c>
      <c r="G28" s="191"/>
      <c r="H28" s="188"/>
      <c r="I28" s="188"/>
      <c r="J28" s="188"/>
      <c r="M28" s="122"/>
      <c r="N28" s="122"/>
      <c r="O28" s="122"/>
      <c r="P28" s="122"/>
      <c r="Q28" s="122"/>
      <c r="R28" s="122"/>
      <c r="S28" s="122"/>
      <c r="T28" s="122"/>
      <c r="U28" s="122"/>
      <c r="V28" s="122"/>
    </row>
    <row r="29" spans="1:22" x14ac:dyDescent="0.25">
      <c r="A29" s="119"/>
      <c r="B29" s="120"/>
      <c r="C29" s="121"/>
      <c r="D29" s="122"/>
      <c r="E29" s="122"/>
      <c r="F29" s="122">
        <f t="shared" si="1"/>
        <v>40.629999999999995</v>
      </c>
      <c r="G29" s="188"/>
      <c r="H29" s="188"/>
      <c r="I29" s="188"/>
      <c r="J29" s="188"/>
      <c r="M29" s="122"/>
      <c r="N29" s="122"/>
      <c r="O29" s="122"/>
      <c r="P29" s="122"/>
      <c r="Q29" s="122"/>
      <c r="R29" s="122"/>
      <c r="S29" s="122"/>
      <c r="T29" s="122"/>
      <c r="U29" s="122"/>
      <c r="V29" s="122"/>
    </row>
    <row r="30" spans="1:22" x14ac:dyDescent="0.25">
      <c r="A30" s="119"/>
      <c r="B30" s="120"/>
      <c r="C30" s="121"/>
      <c r="D30" s="122"/>
      <c r="E30" s="122"/>
      <c r="F30" s="122">
        <f t="shared" si="1"/>
        <v>40.629999999999995</v>
      </c>
      <c r="G30" s="188"/>
      <c r="H30" s="188"/>
      <c r="I30" s="188"/>
      <c r="J30" s="188"/>
      <c r="M30" s="122"/>
      <c r="N30" s="122"/>
      <c r="O30" s="122"/>
      <c r="P30" s="122"/>
      <c r="Q30" s="122"/>
      <c r="R30" s="122"/>
      <c r="S30" s="122"/>
      <c r="T30" s="122"/>
      <c r="U30" s="122"/>
      <c r="V30" s="122"/>
    </row>
    <row r="31" spans="1:22" x14ac:dyDescent="0.25">
      <c r="A31" s="119"/>
      <c r="B31" s="120"/>
      <c r="C31" s="121"/>
      <c r="D31" s="122"/>
      <c r="E31" s="122"/>
      <c r="F31" s="122">
        <f t="shared" si="1"/>
        <v>40.629999999999995</v>
      </c>
      <c r="G31" s="191"/>
      <c r="H31" s="188"/>
      <c r="I31" s="188"/>
      <c r="J31" s="188"/>
      <c r="M31" s="122"/>
      <c r="N31" s="122"/>
      <c r="O31" s="122"/>
      <c r="P31" s="122"/>
      <c r="Q31" s="122"/>
      <c r="R31" s="122"/>
      <c r="S31" s="122"/>
      <c r="T31" s="122"/>
      <c r="U31" s="122"/>
      <c r="V31" s="122"/>
    </row>
    <row r="32" spans="1:22" x14ac:dyDescent="0.25">
      <c r="A32" s="119"/>
      <c r="B32" s="120"/>
      <c r="C32" s="121"/>
      <c r="D32" s="122"/>
      <c r="E32" s="122"/>
      <c r="F32" s="122">
        <f t="shared" si="1"/>
        <v>40.629999999999995</v>
      </c>
      <c r="G32" s="188"/>
      <c r="H32" s="188"/>
      <c r="I32" s="188"/>
      <c r="J32" s="188"/>
      <c r="M32" s="122"/>
      <c r="N32" s="122"/>
      <c r="O32" s="122"/>
      <c r="P32" s="122"/>
      <c r="Q32" s="122"/>
      <c r="R32" s="122"/>
      <c r="S32" s="122"/>
      <c r="T32" s="122"/>
      <c r="U32" s="122"/>
      <c r="V32" s="122"/>
    </row>
    <row r="33" spans="1:22" x14ac:dyDescent="0.25">
      <c r="A33" s="119"/>
      <c r="B33" s="120"/>
      <c r="C33" s="121"/>
      <c r="D33" s="122"/>
      <c r="E33" s="122"/>
      <c r="F33" s="122">
        <f t="shared" si="1"/>
        <v>40.629999999999995</v>
      </c>
      <c r="G33" s="188"/>
      <c r="H33" s="188"/>
      <c r="I33" s="188"/>
      <c r="J33" s="188"/>
      <c r="M33" s="122"/>
      <c r="N33" s="122"/>
      <c r="O33" s="122"/>
      <c r="P33" s="122"/>
      <c r="Q33" s="122"/>
      <c r="R33" s="122"/>
      <c r="S33" s="122"/>
      <c r="T33" s="122"/>
      <c r="U33" s="122"/>
      <c r="V33" s="122"/>
    </row>
    <row r="34" spans="1:22" x14ac:dyDescent="0.25">
      <c r="A34" s="119"/>
      <c r="B34" s="120"/>
      <c r="C34" s="121"/>
      <c r="D34" s="122"/>
      <c r="E34" s="122"/>
      <c r="F34" s="122">
        <f t="shared" si="1"/>
        <v>40.629999999999995</v>
      </c>
      <c r="G34" s="188"/>
      <c r="H34" s="188"/>
      <c r="I34" s="188"/>
      <c r="J34" s="188"/>
      <c r="M34" s="122"/>
      <c r="N34" s="122"/>
      <c r="O34" s="122"/>
      <c r="P34" s="122"/>
      <c r="Q34" s="122"/>
      <c r="R34" s="122"/>
      <c r="S34" s="122"/>
      <c r="T34" s="122"/>
      <c r="U34" s="122"/>
      <c r="V34" s="122"/>
    </row>
    <row r="35" spans="1:22" x14ac:dyDescent="0.25">
      <c r="A35" s="119"/>
      <c r="B35" s="120"/>
      <c r="C35" s="121"/>
      <c r="D35" s="122"/>
      <c r="E35" s="122"/>
      <c r="F35" s="122">
        <f t="shared" si="1"/>
        <v>40.629999999999995</v>
      </c>
      <c r="G35" s="188"/>
      <c r="H35" s="188"/>
      <c r="I35" s="188"/>
      <c r="J35" s="188"/>
      <c r="M35" s="122"/>
      <c r="N35" s="122"/>
      <c r="O35" s="122"/>
      <c r="P35" s="122"/>
      <c r="Q35" s="122"/>
      <c r="R35" s="122"/>
      <c r="S35" s="122"/>
      <c r="T35" s="122"/>
      <c r="U35" s="122"/>
      <c r="V35" s="122"/>
    </row>
    <row r="36" spans="1:22" x14ac:dyDescent="0.25">
      <c r="A36" s="119"/>
      <c r="B36" s="120"/>
      <c r="C36" s="121"/>
      <c r="D36" s="122"/>
      <c r="E36" s="122"/>
      <c r="F36" s="122">
        <f t="shared" si="1"/>
        <v>40.629999999999995</v>
      </c>
      <c r="G36" s="192"/>
      <c r="H36" s="192"/>
      <c r="I36" s="192"/>
      <c r="J36" s="192"/>
      <c r="M36" s="122"/>
      <c r="N36" s="122"/>
      <c r="O36" s="122"/>
      <c r="P36" s="122"/>
      <c r="Q36" s="122"/>
      <c r="R36" s="122"/>
      <c r="S36" s="122"/>
      <c r="T36" s="122"/>
      <c r="U36" s="122"/>
      <c r="V36" s="122"/>
    </row>
    <row r="37" spans="1:22" x14ac:dyDescent="0.25">
      <c r="A37" s="119"/>
      <c r="B37" s="120"/>
      <c r="C37" s="121"/>
      <c r="D37" s="122"/>
      <c r="E37" s="122"/>
      <c r="F37" s="122">
        <f t="shared" si="1"/>
        <v>40.629999999999995</v>
      </c>
      <c r="G37" s="188"/>
      <c r="H37" s="188"/>
      <c r="I37" s="188"/>
      <c r="J37" s="188"/>
      <c r="M37" s="122"/>
      <c r="N37" s="122"/>
      <c r="O37" s="122"/>
      <c r="P37" s="122"/>
      <c r="Q37" s="122"/>
      <c r="R37" s="122"/>
      <c r="S37" s="122"/>
      <c r="T37" s="122"/>
      <c r="U37" s="122"/>
      <c r="V37" s="122"/>
    </row>
    <row r="38" spans="1:22" x14ac:dyDescent="0.25">
      <c r="A38" s="119"/>
      <c r="B38" s="120"/>
      <c r="C38" s="121"/>
      <c r="D38" s="122"/>
      <c r="E38" s="122"/>
      <c r="F38" s="122">
        <f t="shared" si="1"/>
        <v>40.629999999999995</v>
      </c>
      <c r="G38" s="191"/>
      <c r="H38" s="188"/>
      <c r="I38" s="188"/>
      <c r="J38" s="188"/>
      <c r="M38" s="122"/>
      <c r="N38" s="122"/>
      <c r="O38" s="122"/>
      <c r="P38" s="122"/>
      <c r="Q38" s="122"/>
      <c r="R38" s="122"/>
      <c r="S38" s="122"/>
      <c r="T38" s="122"/>
      <c r="U38" s="122"/>
      <c r="V38" s="122"/>
    </row>
    <row r="39" spans="1:22" x14ac:dyDescent="0.25">
      <c r="A39" s="119"/>
      <c r="B39" s="120"/>
      <c r="C39" s="121"/>
      <c r="D39" s="122"/>
      <c r="E39" s="122"/>
      <c r="F39" s="122">
        <f t="shared" si="1"/>
        <v>40.629999999999995</v>
      </c>
      <c r="G39" s="191"/>
      <c r="H39" s="188"/>
      <c r="I39" s="188"/>
      <c r="J39" s="188"/>
      <c r="M39" s="122"/>
      <c r="N39" s="122"/>
      <c r="O39" s="122"/>
      <c r="P39" s="122"/>
      <c r="Q39" s="122"/>
      <c r="R39" s="122"/>
      <c r="S39" s="122"/>
      <c r="T39" s="122"/>
      <c r="U39" s="122"/>
      <c r="V39" s="122"/>
    </row>
    <row r="40" spans="1:22" x14ac:dyDescent="0.25">
      <c r="A40" s="119"/>
      <c r="B40" s="120"/>
      <c r="C40" s="121"/>
      <c r="D40" s="122"/>
      <c r="E40" s="122"/>
      <c r="F40" s="122">
        <f t="shared" si="1"/>
        <v>40.629999999999995</v>
      </c>
      <c r="G40" s="191"/>
      <c r="H40" s="188"/>
      <c r="I40" s="188"/>
      <c r="J40" s="188"/>
      <c r="M40" s="122"/>
      <c r="N40" s="122"/>
      <c r="O40" s="122"/>
      <c r="P40" s="122"/>
      <c r="Q40" s="122"/>
      <c r="R40" s="122"/>
      <c r="S40" s="122"/>
      <c r="T40" s="122"/>
      <c r="U40" s="122"/>
      <c r="V40" s="122"/>
    </row>
    <row r="41" spans="1:22" x14ac:dyDescent="0.25">
      <c r="A41" s="119"/>
      <c r="B41" s="120"/>
      <c r="C41" s="121"/>
      <c r="D41" s="122"/>
      <c r="E41" s="122"/>
      <c r="F41" s="122">
        <f t="shared" si="1"/>
        <v>40.629999999999995</v>
      </c>
      <c r="G41" s="188"/>
      <c r="H41" s="188"/>
      <c r="I41" s="188"/>
      <c r="J41" s="188"/>
      <c r="M41" s="122"/>
      <c r="N41" s="122"/>
      <c r="O41" s="122"/>
      <c r="P41" s="122"/>
      <c r="Q41" s="122"/>
      <c r="R41" s="122"/>
      <c r="S41" s="122"/>
      <c r="T41" s="122"/>
      <c r="U41" s="122"/>
      <c r="V41" s="122"/>
    </row>
    <row r="42" spans="1:22" x14ac:dyDescent="0.25">
      <c r="A42" s="119"/>
      <c r="B42" s="120"/>
      <c r="C42" s="121"/>
      <c r="D42" s="122"/>
      <c r="E42" s="122"/>
      <c r="F42" s="122">
        <f t="shared" si="1"/>
        <v>40.629999999999995</v>
      </c>
      <c r="G42" s="188"/>
      <c r="H42" s="188"/>
      <c r="I42" s="188"/>
      <c r="J42" s="188"/>
      <c r="M42" s="122"/>
      <c r="N42" s="122"/>
      <c r="O42" s="122"/>
      <c r="P42" s="122"/>
      <c r="Q42" s="122"/>
      <c r="R42" s="122"/>
      <c r="S42" s="122"/>
      <c r="T42" s="122"/>
      <c r="U42" s="122"/>
      <c r="V42" s="122"/>
    </row>
    <row r="43" spans="1:22" x14ac:dyDescent="0.25">
      <c r="A43" s="111"/>
      <c r="B43" s="112"/>
      <c r="C43" s="113"/>
      <c r="D43" s="114"/>
      <c r="E43" s="114"/>
      <c r="F43" s="114"/>
      <c r="G43" s="189"/>
      <c r="H43" s="189"/>
      <c r="I43" s="189"/>
      <c r="J43" s="189"/>
    </row>
    <row r="44" spans="1:22" x14ac:dyDescent="0.25">
      <c r="A44" s="59"/>
      <c r="B44" s="55"/>
      <c r="C44" s="56"/>
      <c r="D44" s="57"/>
      <c r="E44" s="57"/>
      <c r="F44" s="57"/>
      <c r="G44" s="190"/>
      <c r="H44" s="190"/>
      <c r="I44" s="190"/>
      <c r="J44" s="190"/>
    </row>
    <row r="45" spans="1:22" x14ac:dyDescent="0.25">
      <c r="A45" s="25"/>
      <c r="G45" s="177"/>
      <c r="H45" s="177"/>
      <c r="I45" s="177"/>
      <c r="J45" s="177"/>
    </row>
    <row r="46" spans="1:22" ht="15.75" thickBot="1" x14ac:dyDescent="0.3">
      <c r="B46" s="9" t="s">
        <v>14</v>
      </c>
      <c r="C46" s="10"/>
      <c r="D46" s="11">
        <f>SUM(D6:D45)</f>
        <v>230</v>
      </c>
      <c r="E46" s="11">
        <f>SUM(E7:E45)</f>
        <v>189.37</v>
      </c>
      <c r="F46" s="11">
        <f>D46-E46</f>
        <v>40.629999999999995</v>
      </c>
    </row>
    <row r="47" spans="1:22" ht="15.75" thickTop="1" x14ac:dyDescent="0.25"/>
    <row r="51" spans="4:7" x14ac:dyDescent="0.25">
      <c r="D51" s="24"/>
      <c r="E51" s="24"/>
      <c r="F51" s="24"/>
      <c r="G51" s="16"/>
    </row>
    <row r="52" spans="4:7" x14ac:dyDescent="0.25">
      <c r="D52" s="24"/>
      <c r="E52" s="24"/>
      <c r="F52" s="24"/>
      <c r="G52" s="16"/>
    </row>
    <row r="53" spans="4:7" x14ac:dyDescent="0.25">
      <c r="D53" s="24"/>
      <c r="E53" s="24"/>
      <c r="F53" s="24"/>
      <c r="G53" s="16"/>
    </row>
    <row r="54" spans="4:7" x14ac:dyDescent="0.25">
      <c r="D54" s="24"/>
      <c r="E54" s="24"/>
      <c r="F54" s="24"/>
      <c r="G54" s="16"/>
    </row>
    <row r="55" spans="4:7" x14ac:dyDescent="0.25">
      <c r="D55" s="24"/>
      <c r="E55" s="24"/>
      <c r="F55" s="24"/>
      <c r="G55" s="16"/>
    </row>
    <row r="75" spans="6:6" x14ac:dyDescent="0.25">
      <c r="F75" s="4">
        <f>H70+H71+H72</f>
        <v>0</v>
      </c>
    </row>
  </sheetData>
  <mergeCells count="41">
    <mergeCell ref="G45:J45"/>
    <mergeCell ref="G16:J16"/>
    <mergeCell ref="G17:J17"/>
    <mergeCell ref="G18:J18"/>
    <mergeCell ref="G19:J19"/>
    <mergeCell ref="G20:J20"/>
    <mergeCell ref="G21:J21"/>
    <mergeCell ref="G23:J23"/>
    <mergeCell ref="G24:J24"/>
    <mergeCell ref="G25:J25"/>
    <mergeCell ref="G26:J26"/>
    <mergeCell ref="G27:J27"/>
    <mergeCell ref="G29:J29"/>
    <mergeCell ref="G28:J28"/>
    <mergeCell ref="G30:J30"/>
    <mergeCell ref="G31:J31"/>
    <mergeCell ref="G15:J15"/>
    <mergeCell ref="G22:J22"/>
    <mergeCell ref="G5:J5"/>
    <mergeCell ref="G6:J6"/>
    <mergeCell ref="G8:J8"/>
    <mergeCell ref="G9:J9"/>
    <mergeCell ref="G10:J10"/>
    <mergeCell ref="G11:J11"/>
    <mergeCell ref="G12:J12"/>
    <mergeCell ref="G13:J13"/>
    <mergeCell ref="G14:J14"/>
    <mergeCell ref="G7:J7"/>
    <mergeCell ref="G32:J32"/>
    <mergeCell ref="G33:J33"/>
    <mergeCell ref="G34:J34"/>
    <mergeCell ref="G35:J35"/>
    <mergeCell ref="G36:J36"/>
    <mergeCell ref="G42:J42"/>
    <mergeCell ref="G43:J43"/>
    <mergeCell ref="G44:J44"/>
    <mergeCell ref="G37:J37"/>
    <mergeCell ref="G38:J38"/>
    <mergeCell ref="G39:J39"/>
    <mergeCell ref="G40:J40"/>
    <mergeCell ref="G41:J4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74</vt:i4>
      </vt:variant>
    </vt:vector>
  </HeadingPairs>
  <TitlesOfParts>
    <vt:vector size="79" baseType="lpstr">
      <vt:lpstr>Summary</vt:lpstr>
      <vt:lpstr>Current Account</vt:lpstr>
      <vt:lpstr>Expenditure</vt:lpstr>
      <vt:lpstr>Income</vt:lpstr>
      <vt:lpstr>Petty Cash</vt:lpstr>
      <vt:lpstr>Audit</vt:lpstr>
      <vt:lpstr>CurrentAccountBalance</vt:lpstr>
      <vt:lpstr>Expend1</vt:lpstr>
      <vt:lpstr>Expend10</vt:lpstr>
      <vt:lpstr>Expend11</vt:lpstr>
      <vt:lpstr>Expend12</vt:lpstr>
      <vt:lpstr>Expend13</vt:lpstr>
      <vt:lpstr>Expend2</vt:lpstr>
      <vt:lpstr>Expend3</vt:lpstr>
      <vt:lpstr>Expend4</vt:lpstr>
      <vt:lpstr>Expend5</vt:lpstr>
      <vt:lpstr>Expend6</vt:lpstr>
      <vt:lpstr>Expend7</vt:lpstr>
      <vt:lpstr>Expend8</vt:lpstr>
      <vt:lpstr>Expend9</vt:lpstr>
      <vt:lpstr>ExpendLbl1</vt:lpstr>
      <vt:lpstr>ExpendLbl10</vt:lpstr>
      <vt:lpstr>ExpendLbl11</vt:lpstr>
      <vt:lpstr>ExpendLbl12</vt:lpstr>
      <vt:lpstr>ExpendLbl13</vt:lpstr>
      <vt:lpstr>ExpendLbl2</vt:lpstr>
      <vt:lpstr>ExpendLbl3</vt:lpstr>
      <vt:lpstr>ExpendLbl4</vt:lpstr>
      <vt:lpstr>ExpendLbl5</vt:lpstr>
      <vt:lpstr>ExpendLbl6</vt:lpstr>
      <vt:lpstr>ExpendLbl7</vt:lpstr>
      <vt:lpstr>ExpendLbl8</vt:lpstr>
      <vt:lpstr>ExpendLbl9</vt:lpstr>
      <vt:lpstr>GraveleyChurch</vt:lpstr>
      <vt:lpstr>IncColumn1</vt:lpstr>
      <vt:lpstr>IncColumn2</vt:lpstr>
      <vt:lpstr>IncColumn3</vt:lpstr>
      <vt:lpstr>IncColumn4</vt:lpstr>
      <vt:lpstr>IncDeposits</vt:lpstr>
      <vt:lpstr>IncLbl1</vt:lpstr>
      <vt:lpstr>IncLbl2</vt:lpstr>
      <vt:lpstr>IncLbl3</vt:lpstr>
      <vt:lpstr>IncLbl4</vt:lpstr>
      <vt:lpstr>Insurance</vt:lpstr>
      <vt:lpstr>Interest</vt:lpstr>
      <vt:lpstr>LandRent</vt:lpstr>
      <vt:lpstr>Legal</vt:lpstr>
      <vt:lpstr>Maintenance</vt:lpstr>
      <vt:lpstr>Miscellaneous</vt:lpstr>
      <vt:lpstr>Office</vt:lpstr>
      <vt:lpstr>OpenCurrent</vt:lpstr>
      <vt:lpstr>OpenPetty</vt:lpstr>
      <vt:lpstr>PettyCashExpend</vt:lpstr>
      <vt:lpstr>PettyColumn1</vt:lpstr>
      <vt:lpstr>PettyColumn2</vt:lpstr>
      <vt:lpstr>PettyColumn3</vt:lpstr>
      <vt:lpstr>PettyColumn4</vt:lpstr>
      <vt:lpstr>PettyColumn5</vt:lpstr>
      <vt:lpstr>PettyLbl1</vt:lpstr>
      <vt:lpstr>PettyLbl2</vt:lpstr>
      <vt:lpstr>PettyLbl3</vt:lpstr>
      <vt:lpstr>PettyLbl4</vt:lpstr>
      <vt:lpstr>PettyLbl5</vt:lpstr>
      <vt:lpstr>Planning</vt:lpstr>
      <vt:lpstr>Postage</vt:lpstr>
      <vt:lpstr>Precept</vt:lpstr>
      <vt:lpstr>'Current Account'!Print_Area</vt:lpstr>
      <vt:lpstr>Expenditure!Print_Area</vt:lpstr>
      <vt:lpstr>Income!Print_Area</vt:lpstr>
      <vt:lpstr>'Petty Cash'!Print_Area</vt:lpstr>
      <vt:lpstr>Summary!Print_Area</vt:lpstr>
      <vt:lpstr>Expenditure!Print_Titles</vt:lpstr>
      <vt:lpstr>Refunds</vt:lpstr>
      <vt:lpstr>Rent</vt:lpstr>
      <vt:lpstr>RoadSafety</vt:lpstr>
      <vt:lpstr>Subscriptions</vt:lpstr>
      <vt:lpstr>Telephone</vt:lpstr>
      <vt:lpstr>Training</vt:lpstr>
      <vt:lpstr>VillageHall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2020-01-14T09:05:24Z</dcterms:created>
  <dcterms:modified xsi:type="dcterms:W3CDTF">2020-01-14T09:16:20Z</dcterms:modified>
</cp:coreProperties>
</file>