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05" windowWidth="27795" windowHeight="12600"/>
  </bookViews>
  <sheets>
    <sheet name="Vs" sheetId="1" r:id="rId1"/>
    <sheet name="Viscosity Table" sheetId="2" r:id="rId2"/>
    <sheet name="Material Gradations" sheetId="4" r:id="rId3"/>
    <sheet name="Sources" sheetId="5" r:id="rId4"/>
  </sheets>
  <definedNames>
    <definedName name="_xlnm._FilterDatabase" localSheetId="0" hidden="1">Vs!$F$45:$F$53</definedName>
    <definedName name="A">Vs!$C$66</definedName>
    <definedName name="Amin">Vs!$C$63</definedName>
    <definedName name="CDa">Vs!$K$24</definedName>
    <definedName name="D">Vs!$C$67</definedName>
    <definedName name="dist">Vs!$C$71</definedName>
    <definedName name="Dp">Vs!$C$25</definedName>
    <definedName name="dpmin">Vs!$C$4</definedName>
    <definedName name="dx">Vs!$C$72</definedName>
    <definedName name="dy">Vs!$C$70</definedName>
    <definedName name="g">Vs!$C$23</definedName>
    <definedName name="L">Vs!$C$64</definedName>
    <definedName name="muf">Vs!$C$27</definedName>
    <definedName name="P">Vs!$C$2</definedName>
    <definedName name="phi">Vs!$K$20</definedName>
    <definedName name="_xlnm.Print_Area" localSheetId="0">Vs!$A$1:$R$89</definedName>
    <definedName name="Q">Vs!$C$61</definedName>
    <definedName name="Re">Vs!$K$21</definedName>
    <definedName name="rhof">Vs!$C$21</definedName>
    <definedName name="rhop">Vs!$C$22</definedName>
    <definedName name="S">Vs!$C$20</definedName>
    <definedName name="T">Vs!$C$26</definedName>
    <definedName name="tone">Vs!$C$69</definedName>
    <definedName name="ttwo">Vs!$C$71</definedName>
    <definedName name="v0">Vs!$C$62</definedName>
    <definedName name="vx">Vs!$C$68</definedName>
    <definedName name="W">Vs!$C$65</definedName>
    <definedName name="x">Vs!$Z$6:$AE$6</definedName>
    <definedName name="x0">Vs!$Z$7:$AE$7</definedName>
    <definedName name="xone">Vs!$Z$8:$AE$8</definedName>
    <definedName name="y">Vs!$Z$11:$AE$11</definedName>
    <definedName name="y0">Vs!$Z$9:$AE$9</definedName>
    <definedName name="yone">Vs!$Z$10:$AE$10</definedName>
    <definedName name="Zone">Vs!$K$22</definedName>
  </definedNames>
  <calcPr calcId="145621"/>
</workbook>
</file>

<file path=xl/calcChain.xml><?xml version="1.0" encoding="utf-8"?>
<calcChain xmlns="http://schemas.openxmlformats.org/spreadsheetml/2006/main">
  <c r="C92" i="1" l="1"/>
  <c r="C94" i="1" s="1"/>
  <c r="C91" i="1"/>
  <c r="C93" i="1" s="1"/>
  <c r="C84" i="1"/>
  <c r="C86" i="1" s="1"/>
  <c r="C96" i="1" l="1"/>
  <c r="C101" i="1" s="1"/>
  <c r="C102" i="1" s="1"/>
  <c r="C95" i="1"/>
  <c r="C88" i="1"/>
  <c r="BE43" i="1"/>
  <c r="BE46" i="1"/>
  <c r="BE47" i="1"/>
  <c r="BE48" i="1"/>
  <c r="BE49" i="1"/>
  <c r="BE50" i="1"/>
  <c r="BE51" i="1"/>
  <c r="BE52" i="1"/>
  <c r="BE53" i="1"/>
  <c r="BA45" i="1"/>
  <c r="BB45" i="1" s="1"/>
  <c r="BD45" i="1" s="1"/>
  <c r="BA53" i="1"/>
  <c r="BB53" i="1" s="1"/>
  <c r="BD53" i="1" s="1"/>
  <c r="L19" i="4"/>
  <c r="C40" i="1" a="1"/>
  <c r="C40" i="1" s="1"/>
  <c r="B54" i="1" s="1"/>
  <c r="BE55" i="1" s="1"/>
  <c r="C39" i="1" a="1"/>
  <c r="C39" i="1" s="1"/>
  <c r="X84" i="1"/>
  <c r="W76" i="1"/>
  <c r="W77" i="1" s="1"/>
  <c r="W79" i="1" s="1"/>
  <c r="W81" i="1" s="1"/>
  <c r="X75" i="1"/>
  <c r="X78" i="1" s="1"/>
  <c r="X79" i="1" s="1"/>
  <c r="C66" i="1"/>
  <c r="C61" i="1"/>
  <c r="C68" i="1" s="1"/>
  <c r="C69" i="1" s="1"/>
  <c r="AD6" i="1"/>
  <c r="AD7" i="1" s="1"/>
  <c r="AD8" i="1" s="1"/>
  <c r="AD10" i="1" s="1"/>
  <c r="D24" i="4"/>
  <c r="D26" i="4"/>
  <c r="D27" i="4"/>
  <c r="D28" i="4"/>
  <c r="D29" i="4"/>
  <c r="D30" i="4"/>
  <c r="D31" i="4"/>
  <c r="D25" i="4"/>
  <c r="Z6" i="1"/>
  <c r="Z7" i="1" s="1"/>
  <c r="Z8" i="1" s="1"/>
  <c r="Z5" i="1"/>
  <c r="Z4" i="1"/>
  <c r="AE4" i="1"/>
  <c r="AA4" i="1" s="1"/>
  <c r="AA5" i="1" s="1"/>
  <c r="AD5" i="1"/>
  <c r="AD4" i="1"/>
  <c r="E24" i="4"/>
  <c r="E25" i="4" s="1"/>
  <c r="C25" i="4"/>
  <c r="C26" i="4" s="1"/>
  <c r="C27" i="4" s="1"/>
  <c r="C28" i="4" s="1"/>
  <c r="C29" i="4" s="1"/>
  <c r="C30" i="4" s="1"/>
  <c r="C31" i="4" s="1"/>
  <c r="C24" i="4"/>
  <c r="BA54" i="1" l="1"/>
  <c r="BC54" i="1" s="1"/>
  <c r="BE54" i="1"/>
  <c r="BC45" i="1"/>
  <c r="C45" i="1" s="1"/>
  <c r="V45" i="1" s="1"/>
  <c r="BC53" i="1"/>
  <c r="C53" i="1" s="1"/>
  <c r="V53" i="1" s="1"/>
  <c r="B44" i="1"/>
  <c r="X77" i="1"/>
  <c r="AE5" i="1"/>
  <c r="Z10" i="1"/>
  <c r="Z9" i="1"/>
  <c r="AD9" i="1"/>
  <c r="AD11" i="1" s="1"/>
  <c r="C4" i="1" s="1"/>
  <c r="F25" i="4"/>
  <c r="E26" i="4"/>
  <c r="F24" i="4"/>
  <c r="BE44" i="1" l="1"/>
  <c r="BE45" i="1"/>
  <c r="BA44" i="1"/>
  <c r="BB54" i="1"/>
  <c r="BD54" i="1" s="1"/>
  <c r="C54" i="1" s="1"/>
  <c r="V54" i="1" s="1"/>
  <c r="BA46" i="1"/>
  <c r="Z11" i="1"/>
  <c r="E27" i="4"/>
  <c r="F26" i="4"/>
  <c r="BC44" i="1" l="1"/>
  <c r="BB44" i="1"/>
  <c r="BD44" i="1" s="1"/>
  <c r="BB46" i="1"/>
  <c r="BD46" i="1" s="1"/>
  <c r="BC46" i="1"/>
  <c r="BA47" i="1"/>
  <c r="F27" i="4"/>
  <c r="E28" i="4"/>
  <c r="C44" i="1" l="1"/>
  <c r="V44" i="1" s="1"/>
  <c r="BB47" i="1"/>
  <c r="BD47" i="1" s="1"/>
  <c r="BC47" i="1"/>
  <c r="C46" i="1"/>
  <c r="V46" i="1" s="1"/>
  <c r="BA48" i="1"/>
  <c r="F28" i="4"/>
  <c r="E29" i="4"/>
  <c r="BB48" i="1" l="1"/>
  <c r="BD48" i="1" s="1"/>
  <c r="BC48" i="1"/>
  <c r="C47" i="1"/>
  <c r="V47" i="1" s="1"/>
  <c r="BA49" i="1"/>
  <c r="E30" i="4"/>
  <c r="F29" i="4"/>
  <c r="BC49" i="1" l="1"/>
  <c r="BB49" i="1"/>
  <c r="BD49" i="1" s="1"/>
  <c r="C48" i="1"/>
  <c r="V48" i="1" s="1"/>
  <c r="BA50" i="1"/>
  <c r="F30" i="4"/>
  <c r="E31" i="4"/>
  <c r="F31" i="4" s="1"/>
  <c r="BC50" i="1" l="1"/>
  <c r="BB50" i="1"/>
  <c r="BD50" i="1" s="1"/>
  <c r="C49" i="1"/>
  <c r="V49" i="1" s="1"/>
  <c r="BA51" i="1"/>
  <c r="BB51" i="1" l="1"/>
  <c r="BD51" i="1" s="1"/>
  <c r="BC51" i="1"/>
  <c r="C50" i="1"/>
  <c r="V50" i="1" s="1"/>
  <c r="BA52" i="1"/>
  <c r="C51" i="1" l="1"/>
  <c r="V51" i="1" s="1"/>
  <c r="BC52" i="1"/>
  <c r="BB52" i="1"/>
  <c r="BD52" i="1" s="1"/>
  <c r="C52" i="1" l="1"/>
  <c r="V52" i="1" s="1"/>
  <c r="C27" i="1" l="1"/>
  <c r="C4" i="2"/>
  <c r="C5" i="2"/>
  <c r="C6" i="2"/>
  <c r="C7" i="2"/>
  <c r="C8" i="2"/>
  <c r="C9" i="2"/>
  <c r="C10" i="2"/>
  <c r="C11" i="2"/>
  <c r="C12" i="2"/>
  <c r="C13" i="2"/>
  <c r="C14" i="2"/>
  <c r="C15" i="2"/>
  <c r="C2" i="2"/>
  <c r="C3" i="2"/>
  <c r="C21" i="1"/>
  <c r="C25" i="1"/>
  <c r="C28" i="1" l="1"/>
  <c r="I31" i="1" s="1"/>
  <c r="W45" i="1"/>
  <c r="X45" i="1" s="1"/>
  <c r="W51" i="1"/>
  <c r="W47" i="1"/>
  <c r="W49" i="1"/>
  <c r="W53" i="1"/>
  <c r="W54" i="1"/>
  <c r="W50" i="1"/>
  <c r="W48" i="1"/>
  <c r="W52" i="1"/>
  <c r="W46" i="1"/>
  <c r="W44" i="1"/>
  <c r="X54" i="1" l="1"/>
  <c r="Y54" i="1" s="1"/>
  <c r="Z54" i="1" s="1"/>
  <c r="AB54" i="1" s="1"/>
  <c r="Y45" i="1"/>
  <c r="Z45" i="1" s="1"/>
  <c r="AB45" i="1" s="1"/>
  <c r="X53" i="1"/>
  <c r="Y53" i="1" s="1"/>
  <c r="Z53" i="1" s="1"/>
  <c r="AB53" i="1" s="1"/>
  <c r="X49" i="1"/>
  <c r="Y49" i="1" s="1"/>
  <c r="Z49" i="1" s="1"/>
  <c r="AB49" i="1" s="1"/>
  <c r="X50" i="1"/>
  <c r="Y50" i="1" s="1"/>
  <c r="Z50" i="1" s="1"/>
  <c r="AB50" i="1" s="1"/>
  <c r="X46" i="1"/>
  <c r="Y46" i="1" s="1"/>
  <c r="Z46" i="1" s="1"/>
  <c r="AB46" i="1" s="1"/>
  <c r="X52" i="1"/>
  <c r="Y52" i="1" s="1"/>
  <c r="Z52" i="1" s="1"/>
  <c r="AB52" i="1" s="1"/>
  <c r="X47" i="1"/>
  <c r="Y47" i="1" s="1"/>
  <c r="Z47" i="1" s="1"/>
  <c r="AB47" i="1" s="1"/>
  <c r="X48" i="1"/>
  <c r="Y48" i="1" s="1"/>
  <c r="Z48" i="1" s="1"/>
  <c r="AB48" i="1" s="1"/>
  <c r="X51" i="1"/>
  <c r="Y51" i="1" s="1"/>
  <c r="Z51" i="1" s="1"/>
  <c r="AB51" i="1" s="1"/>
  <c r="AC51" i="1" s="1"/>
  <c r="AD51" i="1" s="1"/>
  <c r="AE51" i="1" s="1"/>
  <c r="X44" i="1"/>
  <c r="Y44" i="1" s="1"/>
  <c r="Z44" i="1" s="1"/>
  <c r="AB44" i="1" s="1"/>
  <c r="K21" i="1"/>
  <c r="K22" i="1" s="1"/>
  <c r="K23" i="1" s="1"/>
  <c r="AC52" i="1" l="1"/>
  <c r="AD52" i="1" s="1"/>
  <c r="AE52" i="1" s="1"/>
  <c r="AG52" i="1" s="1"/>
  <c r="AC46" i="1"/>
  <c r="AD46" i="1" s="1"/>
  <c r="AE46" i="1" s="1"/>
  <c r="AG46" i="1" s="1"/>
  <c r="AC50" i="1"/>
  <c r="AD50" i="1" s="1"/>
  <c r="AE50" i="1" s="1"/>
  <c r="AG50" i="1" s="1"/>
  <c r="AA49" i="1"/>
  <c r="AC44" i="1"/>
  <c r="AD44" i="1" s="1"/>
  <c r="AE44" i="1" s="1"/>
  <c r="AG44" i="1" s="1"/>
  <c r="AC49" i="1"/>
  <c r="AD49" i="1" s="1"/>
  <c r="AE49" i="1" s="1"/>
  <c r="AG49" i="1" s="1"/>
  <c r="AF51" i="1"/>
  <c r="AG51" i="1"/>
  <c r="AC53" i="1"/>
  <c r="AD53" i="1" s="1"/>
  <c r="AE53" i="1" s="1"/>
  <c r="AG53" i="1" s="1"/>
  <c r="AC48" i="1"/>
  <c r="AD48" i="1" s="1"/>
  <c r="AE48" i="1" s="1"/>
  <c r="AG48" i="1" s="1"/>
  <c r="AC45" i="1"/>
  <c r="AD45" i="1" s="1"/>
  <c r="AE45" i="1" s="1"/>
  <c r="AG45" i="1" s="1"/>
  <c r="AC47" i="1"/>
  <c r="AD47" i="1" s="1"/>
  <c r="AE47" i="1" s="1"/>
  <c r="AG47" i="1" s="1"/>
  <c r="AC54" i="1"/>
  <c r="AD54" i="1" s="1"/>
  <c r="AE54" i="1" s="1"/>
  <c r="AG54" i="1" s="1"/>
  <c r="AA47" i="1"/>
  <c r="AA52" i="1"/>
  <c r="AA53" i="1"/>
  <c r="AA51" i="1"/>
  <c r="AA46" i="1"/>
  <c r="AA45" i="1"/>
  <c r="AA48" i="1"/>
  <c r="AA50" i="1"/>
  <c r="AA54" i="1"/>
  <c r="AA44" i="1"/>
  <c r="K31" i="1"/>
  <c r="L31" i="1" s="1"/>
  <c r="J31" i="1"/>
  <c r="K24" i="1"/>
  <c r="AF47" i="1" l="1"/>
  <c r="AF49" i="1"/>
  <c r="AH44" i="1"/>
  <c r="AI44" i="1" s="1"/>
  <c r="AJ44" i="1" s="1"/>
  <c r="AL44" i="1" s="1"/>
  <c r="AH48" i="1"/>
  <c r="AI48" i="1" s="1"/>
  <c r="AJ48" i="1" s="1"/>
  <c r="AL48" i="1" s="1"/>
  <c r="AF54" i="1"/>
  <c r="AF53" i="1"/>
  <c r="AH53" i="1"/>
  <c r="AI53" i="1" s="1"/>
  <c r="AJ53" i="1" s="1"/>
  <c r="AL53" i="1" s="1"/>
  <c r="AF50" i="1"/>
  <c r="AH54" i="1"/>
  <c r="AI54" i="1" s="1"/>
  <c r="AJ54" i="1" s="1"/>
  <c r="AL54" i="1" s="1"/>
  <c r="AH51" i="1"/>
  <c r="AI51" i="1" s="1"/>
  <c r="AJ51" i="1" s="1"/>
  <c r="AL51" i="1" s="1"/>
  <c r="AH50" i="1"/>
  <c r="AI50" i="1" s="1"/>
  <c r="AJ50" i="1" s="1"/>
  <c r="AL50" i="1" s="1"/>
  <c r="AH47" i="1"/>
  <c r="AI47" i="1" s="1"/>
  <c r="AJ47" i="1" s="1"/>
  <c r="AL47" i="1" s="1"/>
  <c r="AF46" i="1"/>
  <c r="AF45" i="1"/>
  <c r="AH46" i="1"/>
  <c r="AI46" i="1" s="1"/>
  <c r="AJ46" i="1" s="1"/>
  <c r="AL46" i="1" s="1"/>
  <c r="AH45" i="1"/>
  <c r="AI45" i="1" s="1"/>
  <c r="AJ45" i="1" s="1"/>
  <c r="AL45" i="1" s="1"/>
  <c r="AH49" i="1"/>
  <c r="AI49" i="1" s="1"/>
  <c r="AJ49" i="1" s="1"/>
  <c r="AL49" i="1" s="1"/>
  <c r="AF52" i="1"/>
  <c r="AF48" i="1"/>
  <c r="AF44" i="1"/>
  <c r="AH52" i="1"/>
  <c r="AI52" i="1" s="1"/>
  <c r="AJ52" i="1" s="1"/>
  <c r="AL52" i="1" s="1"/>
  <c r="I32" i="1"/>
  <c r="J32" i="1" s="1"/>
  <c r="K32" i="1" s="1"/>
  <c r="L32" i="1" s="1"/>
  <c r="M32" i="1" s="1"/>
  <c r="M31" i="1"/>
  <c r="AK54" i="1" l="1"/>
  <c r="AM47" i="1"/>
  <c r="AN47" i="1" s="1"/>
  <c r="AO47" i="1" s="1"/>
  <c r="AQ47" i="1" s="1"/>
  <c r="AK53" i="1"/>
  <c r="AM53" i="1"/>
  <c r="AN53" i="1" s="1"/>
  <c r="AO53" i="1" s="1"/>
  <c r="AQ53" i="1" s="1"/>
  <c r="AM50" i="1"/>
  <c r="AN50" i="1" s="1"/>
  <c r="AO50" i="1" s="1"/>
  <c r="AQ50" i="1" s="1"/>
  <c r="AM49" i="1"/>
  <c r="AN49" i="1" s="1"/>
  <c r="AO49" i="1" s="1"/>
  <c r="AQ49" i="1" s="1"/>
  <c r="AM52" i="1"/>
  <c r="AN52" i="1" s="1"/>
  <c r="AO52" i="1" s="1"/>
  <c r="AQ52" i="1" s="1"/>
  <c r="AK46" i="1"/>
  <c r="AK51" i="1"/>
  <c r="AM46" i="1"/>
  <c r="AN46" i="1" s="1"/>
  <c r="AO46" i="1" s="1"/>
  <c r="AQ46" i="1" s="1"/>
  <c r="AM51" i="1"/>
  <c r="AN51" i="1" s="1"/>
  <c r="AO51" i="1" s="1"/>
  <c r="AQ51" i="1" s="1"/>
  <c r="AK48" i="1"/>
  <c r="AK50" i="1"/>
  <c r="AM48" i="1"/>
  <c r="AN48" i="1" s="1"/>
  <c r="AO48" i="1" s="1"/>
  <c r="AQ48" i="1" s="1"/>
  <c r="AK45" i="1"/>
  <c r="AK52" i="1"/>
  <c r="AM54" i="1"/>
  <c r="AN54" i="1" s="1"/>
  <c r="AO54" i="1" s="1"/>
  <c r="AQ54" i="1" s="1"/>
  <c r="AK44" i="1"/>
  <c r="AM45" i="1"/>
  <c r="AN45" i="1" s="1"/>
  <c r="AO45" i="1" s="1"/>
  <c r="AQ45" i="1" s="1"/>
  <c r="AK49" i="1"/>
  <c r="AK47" i="1"/>
  <c r="AM44" i="1"/>
  <c r="AN44" i="1" s="1"/>
  <c r="AO44" i="1" s="1"/>
  <c r="AQ44" i="1" s="1"/>
  <c r="I33" i="1"/>
  <c r="J33" i="1" s="1"/>
  <c r="K33" i="1" s="1"/>
  <c r="L33" i="1" s="1"/>
  <c r="M33" i="1" s="1"/>
  <c r="AP54" i="1" l="1"/>
  <c r="AR49" i="1"/>
  <c r="AS49" i="1" s="1"/>
  <c r="AT49" i="1" s="1"/>
  <c r="AV49" i="1" s="1"/>
  <c r="AR44" i="1"/>
  <c r="AS44" i="1" s="1"/>
  <c r="AT44" i="1" s="1"/>
  <c r="AV44" i="1" s="1"/>
  <c r="AW44" i="1" s="1"/>
  <c r="AX44" i="1" s="1"/>
  <c r="AY44" i="1" s="1"/>
  <c r="AP46" i="1"/>
  <c r="AP50" i="1"/>
  <c r="AR50" i="1"/>
  <c r="AS50" i="1" s="1"/>
  <c r="AT50" i="1" s="1"/>
  <c r="AV50" i="1" s="1"/>
  <c r="AW50" i="1" s="1"/>
  <c r="AX50" i="1" s="1"/>
  <c r="AY50" i="1" s="1"/>
  <c r="AR46" i="1"/>
  <c r="AS46" i="1" s="1"/>
  <c r="AT46" i="1" s="1"/>
  <c r="AV46" i="1" s="1"/>
  <c r="AW46" i="1" s="1"/>
  <c r="AX46" i="1" s="1"/>
  <c r="AY46" i="1" s="1"/>
  <c r="AP48" i="1"/>
  <c r="AP53" i="1"/>
  <c r="AR48" i="1"/>
  <c r="AS48" i="1" s="1"/>
  <c r="AT48" i="1" s="1"/>
  <c r="AV48" i="1" s="1"/>
  <c r="AW48" i="1" s="1"/>
  <c r="AX48" i="1" s="1"/>
  <c r="AY48" i="1" s="1"/>
  <c r="AR53" i="1"/>
  <c r="AS53" i="1" s="1"/>
  <c r="AT53" i="1" s="1"/>
  <c r="AV53" i="1" s="1"/>
  <c r="AW53" i="1" s="1"/>
  <c r="AX53" i="1" s="1"/>
  <c r="AY53" i="1" s="1"/>
  <c r="AP44" i="1"/>
  <c r="AR45" i="1"/>
  <c r="AS45" i="1" s="1"/>
  <c r="AT45" i="1" s="1"/>
  <c r="AV45" i="1" s="1"/>
  <c r="AP52" i="1"/>
  <c r="AR51" i="1"/>
  <c r="AS51" i="1" s="1"/>
  <c r="AT51" i="1" s="1"/>
  <c r="AV51" i="1" s="1"/>
  <c r="AW51" i="1" s="1"/>
  <c r="AX51" i="1" s="1"/>
  <c r="AY51" i="1" s="1"/>
  <c r="AP45" i="1"/>
  <c r="AR52" i="1"/>
  <c r="AS52" i="1" s="1"/>
  <c r="AT52" i="1" s="1"/>
  <c r="AV52" i="1" s="1"/>
  <c r="AP47" i="1"/>
  <c r="AR54" i="1"/>
  <c r="AS54" i="1" s="1"/>
  <c r="AT54" i="1" s="1"/>
  <c r="AV54" i="1" s="1"/>
  <c r="AW54" i="1" s="1"/>
  <c r="AX54" i="1" s="1"/>
  <c r="AY54" i="1" s="1"/>
  <c r="AP51" i="1"/>
  <c r="AP49" i="1"/>
  <c r="AR47" i="1"/>
  <c r="AS47" i="1" s="1"/>
  <c r="AT47" i="1" s="1"/>
  <c r="AV47" i="1" s="1"/>
  <c r="AW47" i="1" s="1"/>
  <c r="AX47" i="1" s="1"/>
  <c r="AY47" i="1" s="1"/>
  <c r="I34" i="1"/>
  <c r="J34" i="1" s="1"/>
  <c r="K34" i="1" s="1"/>
  <c r="L34" i="1" s="1"/>
  <c r="AU46" i="1" l="1"/>
  <c r="AZ53" i="1"/>
  <c r="D53" i="1"/>
  <c r="E53" i="1" s="1"/>
  <c r="F53" i="1" s="1"/>
  <c r="G53" i="1" s="1"/>
  <c r="AU50" i="1"/>
  <c r="AZ47" i="1"/>
  <c r="D47" i="1"/>
  <c r="E47" i="1" s="1"/>
  <c r="F47" i="1" s="1"/>
  <c r="G47" i="1" s="1"/>
  <c r="AU53" i="1"/>
  <c r="AZ50" i="1"/>
  <c r="D50" i="1"/>
  <c r="E50" i="1" s="1"/>
  <c r="F50" i="1" s="1"/>
  <c r="G50" i="1" s="1"/>
  <c r="AU51" i="1"/>
  <c r="AW52" i="1"/>
  <c r="AX52" i="1" s="1"/>
  <c r="AY52" i="1" s="1"/>
  <c r="D52" i="1" s="1"/>
  <c r="E52" i="1" s="1"/>
  <c r="F52" i="1" s="1"/>
  <c r="G52" i="1" s="1"/>
  <c r="AZ51" i="1"/>
  <c r="D51" i="1"/>
  <c r="E51" i="1" s="1"/>
  <c r="F51" i="1" s="1"/>
  <c r="G51" i="1" s="1"/>
  <c r="AZ48" i="1"/>
  <c r="D48" i="1"/>
  <c r="E48" i="1" s="1"/>
  <c r="F48" i="1" s="1"/>
  <c r="G48" i="1" s="1"/>
  <c r="AU48" i="1"/>
  <c r="AU54" i="1"/>
  <c r="AU44" i="1"/>
  <c r="AZ54" i="1"/>
  <c r="D54" i="1"/>
  <c r="E54" i="1" s="1"/>
  <c r="F54" i="1" s="1"/>
  <c r="G54" i="1" s="1"/>
  <c r="AZ44" i="1"/>
  <c r="D44" i="1"/>
  <c r="E44" i="1" s="1"/>
  <c r="F44" i="1" s="1"/>
  <c r="AW45" i="1"/>
  <c r="AX45" i="1" s="1"/>
  <c r="AY45" i="1" s="1"/>
  <c r="D45" i="1" s="1"/>
  <c r="E45" i="1" s="1"/>
  <c r="F45" i="1" s="1"/>
  <c r="G45" i="1" s="1"/>
  <c r="AZ46" i="1"/>
  <c r="D46" i="1"/>
  <c r="E46" i="1" s="1"/>
  <c r="F46" i="1" s="1"/>
  <c r="G46" i="1" s="1"/>
  <c r="AU49" i="1"/>
  <c r="AU47" i="1"/>
  <c r="AU45" i="1"/>
  <c r="AU52" i="1"/>
  <c r="AW49" i="1"/>
  <c r="AX49" i="1" s="1"/>
  <c r="AY49" i="1" s="1"/>
  <c r="D49" i="1" s="1"/>
  <c r="E49" i="1" s="1"/>
  <c r="F49" i="1" s="1"/>
  <c r="G49" i="1" s="1"/>
  <c r="M34" i="1"/>
  <c r="I35" i="1"/>
  <c r="J35" i="1" s="1"/>
  <c r="G44" i="1" l="1"/>
  <c r="E57" i="1" s="1"/>
  <c r="E56" i="1"/>
  <c r="C97" i="1" s="1"/>
  <c r="C98" i="1" s="1"/>
  <c r="C100" i="1" s="1"/>
  <c r="AZ49" i="1"/>
  <c r="AZ45" i="1"/>
  <c r="AZ52" i="1"/>
  <c r="K35" i="1"/>
  <c r="L35" i="1" s="1"/>
  <c r="I36" i="1" s="1"/>
  <c r="M35" i="1" l="1"/>
  <c r="J36" i="1"/>
  <c r="K36" i="1" s="1"/>
  <c r="L36" i="1" l="1"/>
  <c r="I37" i="1" l="1"/>
  <c r="J37" i="1" s="1"/>
  <c r="K37" i="1" s="1"/>
  <c r="M36" i="1"/>
  <c r="L37" i="1" l="1"/>
  <c r="L40" i="1" s="1"/>
  <c r="C62" i="1" s="1"/>
  <c r="M37" i="1" l="1"/>
  <c r="G62" i="1" l="1"/>
  <c r="C63" i="1"/>
  <c r="G66" i="1" l="1"/>
  <c r="C70" i="1"/>
  <c r="X87" i="1" s="1"/>
  <c r="C71" i="1" l="1"/>
  <c r="C72" i="1" s="1"/>
  <c r="W87" i="1" s="1"/>
</calcChain>
</file>

<file path=xl/sharedStrings.xml><?xml version="1.0" encoding="utf-8"?>
<sst xmlns="http://schemas.openxmlformats.org/spreadsheetml/2006/main" count="311" uniqueCount="185">
  <si>
    <t>mm</t>
  </si>
  <si>
    <t>Particle Diameter</t>
  </si>
  <si>
    <t>Density of Particle</t>
  </si>
  <si>
    <t>Specific Gravity of Particle</t>
  </si>
  <si>
    <t>Density of Fluid</t>
  </si>
  <si>
    <t>S</t>
  </si>
  <si>
    <t>g</t>
  </si>
  <si>
    <t>acceleration of gravity</t>
  </si>
  <si>
    <r>
      <t>ft/s</t>
    </r>
    <r>
      <rPr>
        <vertAlign val="superscript"/>
        <sz val="11"/>
        <color theme="1"/>
        <rFont val="Calibri"/>
        <family val="2"/>
        <scheme val="minor"/>
      </rPr>
      <t>2</t>
    </r>
  </si>
  <si>
    <t>Water Temperature</t>
  </si>
  <si>
    <t>F</t>
  </si>
  <si>
    <t>T</t>
  </si>
  <si>
    <t>T (F)</t>
  </si>
  <si>
    <t>Mu (lbs/ft2)x10^-5</t>
  </si>
  <si>
    <r>
      <t>lb-s/ft</t>
    </r>
    <r>
      <rPr>
        <vertAlign val="superscript"/>
        <sz val="11"/>
        <color theme="1"/>
        <rFont val="Calibri"/>
        <family val="2"/>
        <scheme val="minor"/>
      </rPr>
      <t>2</t>
    </r>
  </si>
  <si>
    <t>Water Dynamic Viscosity</t>
  </si>
  <si>
    <t>ft/s</t>
  </si>
  <si>
    <t>ft</t>
  </si>
  <si>
    <t>Terminal Settling Velocity</t>
  </si>
  <si>
    <r>
      <t>slug/ft</t>
    </r>
    <r>
      <rPr>
        <vertAlign val="superscript"/>
        <sz val="11"/>
        <color theme="1"/>
        <rFont val="Calibri"/>
        <family val="2"/>
        <scheme val="minor"/>
      </rPr>
      <t>3</t>
    </r>
  </si>
  <si>
    <t>Step 1: Determine Settling Velocity (vs)</t>
  </si>
  <si>
    <t>Method A (from text)</t>
  </si>
  <si>
    <t>Method B (https://nptel.ac.in/courses/103107084/module3/lecture7/lecture7.pdf)</t>
  </si>
  <si>
    <t>Re</t>
  </si>
  <si>
    <t>Zone</t>
  </si>
  <si>
    <t>phi</t>
  </si>
  <si>
    <t>Particle Shape Factor</t>
  </si>
  <si>
    <t>φ</t>
  </si>
  <si>
    <t>CD</t>
  </si>
  <si>
    <r>
      <t>C</t>
    </r>
    <r>
      <rPr>
        <vertAlign val="subscript"/>
        <sz val="11"/>
        <color theme="1"/>
        <rFont val="Calibri"/>
        <family val="2"/>
        <scheme val="minor"/>
      </rPr>
      <t>D</t>
    </r>
  </si>
  <si>
    <t>Drag Coefficient</t>
  </si>
  <si>
    <t>Flow Type</t>
  </si>
  <si>
    <t>Reynolds Number</t>
  </si>
  <si>
    <t>Alternative Drag Coefficient</t>
  </si>
  <si>
    <t>CDa</t>
  </si>
  <si>
    <r>
      <t>C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alt</t>
    </r>
  </si>
  <si>
    <t>Iterative Procecure</t>
  </si>
  <si>
    <t>ut</t>
  </si>
  <si>
    <t>Diff</t>
  </si>
  <si>
    <r>
      <t>u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(previous)</t>
    </r>
  </si>
  <si>
    <r>
      <t>u</t>
    </r>
    <r>
      <rPr>
        <vertAlign val="subscript"/>
        <sz val="11"/>
        <color theme="1"/>
        <rFont val="Calibri"/>
        <family val="2"/>
        <scheme val="minor"/>
      </rPr>
      <t>t</t>
    </r>
  </si>
  <si>
    <t>Use</t>
  </si>
  <si>
    <t>FINAL TERMINAL SETTLING VELOCITY</t>
  </si>
  <si>
    <t>Step 2: Determine Surface Dimensions of Settling Tank</t>
  </si>
  <si>
    <r>
      <t>ρ</t>
    </r>
    <r>
      <rPr>
        <b/>
        <vertAlign val="subscript"/>
        <sz val="11"/>
        <color theme="1"/>
        <rFont val="Calibri"/>
        <family val="2"/>
      </rPr>
      <t>p</t>
    </r>
  </si>
  <si>
    <r>
      <t>ρ</t>
    </r>
    <r>
      <rPr>
        <b/>
        <vertAlign val="subscript"/>
        <sz val="11"/>
        <color theme="1"/>
        <rFont val="Calibri"/>
        <family val="2"/>
      </rPr>
      <t>f</t>
    </r>
  </si>
  <si>
    <t>rhof</t>
  </si>
  <si>
    <t>rhop</t>
  </si>
  <si>
    <r>
      <t>D</t>
    </r>
    <r>
      <rPr>
        <b/>
        <vertAlign val="subscript"/>
        <sz val="11"/>
        <color theme="1"/>
        <rFont val="Calibri"/>
        <family val="2"/>
        <scheme val="minor"/>
      </rPr>
      <t>p</t>
    </r>
  </si>
  <si>
    <r>
      <t>μ</t>
    </r>
    <r>
      <rPr>
        <b/>
        <vertAlign val="subscript"/>
        <sz val="11"/>
        <color theme="1"/>
        <rFont val="Calibri"/>
        <family val="2"/>
      </rPr>
      <t>f</t>
    </r>
  </si>
  <si>
    <t>muf</t>
  </si>
  <si>
    <t>dp</t>
  </si>
  <si>
    <t>Step 1: Determine Minimum Particle Size to be Settled</t>
  </si>
  <si>
    <t>P</t>
  </si>
  <si>
    <t>Percent of total Mass to be Settled</t>
  </si>
  <si>
    <t>Coarse Aggregate</t>
  </si>
  <si>
    <t>Sieve</t>
  </si>
  <si>
    <t>Sieve Size (mm)</t>
  </si>
  <si>
    <t>Percent Passing</t>
  </si>
  <si>
    <t>Percent Retained</t>
  </si>
  <si>
    <t>2"</t>
  </si>
  <si>
    <t>1 1/2"</t>
  </si>
  <si>
    <t>1"</t>
  </si>
  <si>
    <t>3/4"</t>
  </si>
  <si>
    <t>1/2"</t>
  </si>
  <si>
    <t>3/8"</t>
  </si>
  <si>
    <t>No. 4</t>
  </si>
  <si>
    <t>No. 8</t>
  </si>
  <si>
    <t>No. 10</t>
  </si>
  <si>
    <t>Fine Aggregate</t>
  </si>
  <si>
    <t>Retained #200</t>
  </si>
  <si>
    <t>No. 60</t>
  </si>
  <si>
    <t>No. 80</t>
  </si>
  <si>
    <t>No. 100</t>
  </si>
  <si>
    <t>No. 200</t>
  </si>
  <si>
    <t>Passing #200</t>
  </si>
  <si>
    <t>Pit Material</t>
  </si>
  <si>
    <t>Rock Trap Material</t>
  </si>
  <si>
    <t>Material Type</t>
  </si>
  <si>
    <t>Pit</t>
  </si>
  <si>
    <t>Extrapolated Data</t>
  </si>
  <si>
    <t>x</t>
  </si>
  <si>
    <t>y</t>
  </si>
  <si>
    <t>x0</t>
  </si>
  <si>
    <t>x1</t>
  </si>
  <si>
    <t>y0</t>
  </si>
  <si>
    <t>y1</t>
  </si>
  <si>
    <r>
      <t>D</t>
    </r>
    <r>
      <rPr>
        <b/>
        <vertAlign val="subscript"/>
        <sz val="11"/>
        <color theme="1"/>
        <rFont val="Calibri"/>
        <family val="2"/>
        <scheme val="minor"/>
      </rPr>
      <t>p min</t>
    </r>
  </si>
  <si>
    <t>dpmin</t>
  </si>
  <si>
    <t>Minimum Particle Size that Must Settle</t>
  </si>
  <si>
    <t>v0</t>
  </si>
  <si>
    <r>
      <t>u</t>
    </r>
    <r>
      <rPr>
        <b/>
        <vertAlign val="subscript"/>
        <sz val="11"/>
        <color theme="1"/>
        <rFont val="Calibri"/>
        <family val="2"/>
        <scheme val="minor"/>
      </rPr>
      <t xml:space="preserve">t </t>
    </r>
    <r>
      <rPr>
        <b/>
        <sz val="11"/>
        <color theme="1"/>
        <rFont val="Calibri"/>
        <family val="2"/>
        <scheme val="minor"/>
      </rPr>
      <t>or v</t>
    </r>
    <r>
      <rPr>
        <b/>
        <vertAlign val="subscript"/>
        <sz val="11"/>
        <color theme="1"/>
        <rFont val="Calibri"/>
        <family val="2"/>
        <scheme val="minor"/>
      </rPr>
      <t>s</t>
    </r>
  </si>
  <si>
    <t>Design Overflow Rate</t>
  </si>
  <si>
    <t>A</t>
  </si>
  <si>
    <t>https://www.uidaho.edu/-/media/UIdaho-Responsive/Files/Extension/county/twin-falls/WRAC-106.pdf</t>
  </si>
  <si>
    <t>https://nptel.ac.in/courses/103107084/module3/lecture7/lecture7.pdf</t>
  </si>
  <si>
    <t>Amin</t>
  </si>
  <si>
    <t>L</t>
  </si>
  <si>
    <t>W</t>
  </si>
  <si>
    <r>
      <t>v</t>
    </r>
    <r>
      <rPr>
        <b/>
        <vertAlign val="subscript"/>
        <sz val="11"/>
        <color theme="1"/>
        <rFont val="Calibri"/>
        <family val="2"/>
        <scheme val="minor"/>
      </rPr>
      <t>0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</si>
  <si>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min</t>
    </r>
  </si>
  <si>
    <t>Minimum Tank Surface Area</t>
  </si>
  <si>
    <t>Tank Design Surface Area</t>
  </si>
  <si>
    <t>Q</t>
  </si>
  <si>
    <t>Design Flow through tank</t>
  </si>
  <si>
    <t>gpm</t>
  </si>
  <si>
    <t>cfs</t>
  </si>
  <si>
    <r>
      <t>ft</t>
    </r>
    <r>
      <rPr>
        <vertAlign val="superscript"/>
        <sz val="11"/>
        <color theme="1"/>
        <rFont val="Calibri"/>
        <family val="2"/>
        <scheme val="minor"/>
      </rPr>
      <t>2</t>
    </r>
  </si>
  <si>
    <t>D</t>
  </si>
  <si>
    <t>left</t>
  </si>
  <si>
    <t>top</t>
  </si>
  <si>
    <t>bot</t>
  </si>
  <si>
    <t>right</t>
  </si>
  <si>
    <t>Particle Drop from beginning to end of tank</t>
  </si>
  <si>
    <t>vx</t>
  </si>
  <si>
    <t>Actual Horizontal Velocity</t>
  </si>
  <si>
    <t>s</t>
  </si>
  <si>
    <t>If drop is to bottom, distance it travels</t>
  </si>
  <si>
    <t>Time for Particle to drop to bottom</t>
  </si>
  <si>
    <t>dx</t>
  </si>
  <si>
    <t>dy</t>
  </si>
  <si>
    <t>Start</t>
  </si>
  <si>
    <t>end</t>
  </si>
  <si>
    <t>ttwo</t>
  </si>
  <si>
    <t>tone</t>
  </si>
  <si>
    <t>Length of Settling Zone</t>
  </si>
  <si>
    <t>Width of Settling Zone</t>
  </si>
  <si>
    <t>Depth of Settling Zone</t>
  </si>
  <si>
    <r>
      <t>v</t>
    </r>
    <r>
      <rPr>
        <b/>
        <vertAlign val="subscript"/>
        <sz val="11"/>
        <color theme="1"/>
        <rFont val="Calibri"/>
        <family val="2"/>
        <scheme val="minor"/>
      </rPr>
      <t>x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</si>
  <si>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</si>
  <si>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</si>
  <si>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Transit Time (horizontal)</t>
  </si>
  <si>
    <t>http://www.dartmouth.edu/~cushman/courses/engs37/Settling.pdf</t>
  </si>
  <si>
    <t>Particle Size (mm)</t>
  </si>
  <si>
    <t>Terminal Settling Velocity (ft/s)</t>
  </si>
  <si>
    <t>Percent of Total Mass</t>
  </si>
  <si>
    <t>Min Percent</t>
  </si>
  <si>
    <t>Max Percent</t>
  </si>
  <si>
    <t>Collection Efficiency</t>
  </si>
  <si>
    <t>Vertical Fall in Tank (ft)</t>
  </si>
  <si>
    <t>Total Collection Efficiency</t>
  </si>
  <si>
    <t>Particles Passing System</t>
  </si>
  <si>
    <t>Percent total particles passing system</t>
  </si>
  <si>
    <t>ut1</t>
  </si>
  <si>
    <t>Iteration 1</t>
  </si>
  <si>
    <t>Iteration 2</t>
  </si>
  <si>
    <t>ut2</t>
  </si>
  <si>
    <t>Iteration 3</t>
  </si>
  <si>
    <t>Iteration 4</t>
  </si>
  <si>
    <t>Iteration 5</t>
  </si>
  <si>
    <t>Iteration 6</t>
  </si>
  <si>
    <t>ut3</t>
  </si>
  <si>
    <t>ut4</t>
  </si>
  <si>
    <t>ut5</t>
  </si>
  <si>
    <t>ut6</t>
  </si>
  <si>
    <t>dp, ft</t>
  </si>
  <si>
    <t>Step 3: Determine Sludge Depth</t>
  </si>
  <si>
    <t>Average Flow</t>
  </si>
  <si>
    <t>days</t>
  </si>
  <si>
    <t>Weekly Volume</t>
  </si>
  <si>
    <t>gal./week</t>
  </si>
  <si>
    <t>Operation:</t>
  </si>
  <si>
    <t>gal./day</t>
  </si>
  <si>
    <t>hours/day</t>
  </si>
  <si>
    <t>days/week</t>
  </si>
  <si>
    <t>Soils Collected</t>
  </si>
  <si>
    <r>
      <t>ft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/day</t>
    </r>
  </si>
  <si>
    <t>Soils in Flow</t>
  </si>
  <si>
    <t>Depth of Soil Collected</t>
  </si>
  <si>
    <t>Soils Concentration</t>
  </si>
  <si>
    <t>Organics Concentration</t>
  </si>
  <si>
    <r>
      <t>ft</t>
    </r>
    <r>
      <rPr>
        <sz val="11"/>
        <color theme="1"/>
        <rFont val="Calibri"/>
        <family val="2"/>
        <scheme val="minor"/>
      </rPr>
      <t>/day</t>
    </r>
  </si>
  <si>
    <t>Cleaning Frequency</t>
  </si>
  <si>
    <t>inches</t>
  </si>
  <si>
    <t>Daily Flow</t>
  </si>
  <si>
    <t>by mass</t>
  </si>
  <si>
    <t>Bulk Specific Gravity of Organics</t>
  </si>
  <si>
    <t>Bulk Specific Gravity of Soils</t>
  </si>
  <si>
    <t>by volume</t>
  </si>
  <si>
    <t>(assumed)</t>
  </si>
  <si>
    <t>Organics in Flow</t>
  </si>
  <si>
    <t>Max Soil Depth at Cleaning</t>
  </si>
  <si>
    <t>Organics Volume at Cleaning</t>
  </si>
  <si>
    <r>
      <t>ft</t>
    </r>
    <r>
      <rPr>
        <vertAlign val="superscript"/>
        <sz val="11"/>
        <color theme="1"/>
        <rFont val="Calibri"/>
        <family val="2"/>
        <scheme val="minor"/>
      </rPr>
      <t>3</t>
    </r>
  </si>
  <si>
    <t>Organics Thickness at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</si>
</sst>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00"/>
    <numFmt numFmtId="165" formatCode="0.0%"/>
    <numFmt numFmtId="166" formatCode="0.0"/>
    <numFmt numFmtId="167" formatCode="0.0000"/>
    <numFmt numFmtId="168" formatCode="0.0E+00"/>
    <numFmt numFmtId="169" formatCode="0.000%"/>
  </numFmts>
  <fonts count="1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7F7F7F"/>
      </right>
      <top/>
      <bottom/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5" borderId="0" applyNumberFormat="0" applyBorder="0" applyAlignment="0" applyProtection="0"/>
    <xf numFmtId="0" fontId="14" fillId="0" borderId="0"/>
    <xf numFmtId="0" fontId="16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left"/>
    </xf>
    <xf numFmtId="0" fontId="1" fillId="2" borderId="4" xfId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2" fillId="3" borderId="2" xfId="2" applyAlignment="1">
      <alignment horizontal="center"/>
    </xf>
    <xf numFmtId="0" fontId="2" fillId="3" borderId="5" xfId="2" applyBorder="1" applyAlignment="1">
      <alignment horizontal="center"/>
    </xf>
    <xf numFmtId="11" fontId="2" fillId="3" borderId="2" xfId="2" applyNumberForma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2" borderId="6" xfId="1" applyBorder="1" applyAlignment="1">
      <alignment horizontal="center"/>
    </xf>
    <xf numFmtId="0" fontId="0" fillId="0" borderId="0" xfId="0" applyBorder="1" applyAlignment="1">
      <alignment horizontal="center"/>
    </xf>
    <xf numFmtId="2" fontId="1" fillId="2" borderId="4" xfId="1" applyNumberFormat="1" applyBorder="1" applyAlignment="1">
      <alignment horizontal="center"/>
    </xf>
    <xf numFmtId="0" fontId="0" fillId="0" borderId="0" xfId="0" applyAlignme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1" fontId="0" fillId="0" borderId="14" xfId="0" applyNumberFormat="1" applyBorder="1" applyAlignment="1">
      <alignment horizontal="center"/>
    </xf>
    <xf numFmtId="11" fontId="0" fillId="0" borderId="17" xfId="0" applyNumberFormat="1" applyBorder="1" applyAlignment="1">
      <alignment horizontal="center"/>
    </xf>
    <xf numFmtId="11" fontId="0" fillId="0" borderId="19" xfId="0" applyNumberFormat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11" fontId="0" fillId="0" borderId="18" xfId="0" applyNumberFormat="1" applyBorder="1" applyAlignment="1">
      <alignment horizontal="center"/>
    </xf>
    <xf numFmtId="11" fontId="0" fillId="0" borderId="21" xfId="0" applyNumberFormat="1" applyBorder="1" applyAlignment="1">
      <alignment horizontal="center"/>
    </xf>
    <xf numFmtId="11" fontId="0" fillId="0" borderId="15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20" xfId="0" applyNumberFormat="1" applyBorder="1" applyAlignment="1">
      <alignment horizontal="center"/>
    </xf>
    <xf numFmtId="9" fontId="1" fillId="2" borderId="1" xfId="4" applyFont="1" applyFill="1" applyBorder="1" applyAlignment="1">
      <alignment horizontal="center"/>
    </xf>
    <xf numFmtId="0" fontId="14" fillId="0" borderId="3" xfId="6" applyBorder="1" applyAlignment="1">
      <alignment horizontal="center"/>
    </xf>
    <xf numFmtId="165" fontId="14" fillId="0" borderId="3" xfId="8" applyNumberFormat="1" applyFont="1" applyBorder="1" applyAlignment="1">
      <alignment horizontal="center"/>
    </xf>
    <xf numFmtId="165" fontId="14" fillId="0" borderId="15" xfId="8" applyNumberFormat="1" applyFont="1" applyBorder="1" applyAlignment="1">
      <alignment horizontal="center"/>
    </xf>
    <xf numFmtId="165" fontId="14" fillId="6" borderId="3" xfId="8" applyNumberFormat="1" applyFont="1" applyFill="1" applyBorder="1" applyAlignment="1">
      <alignment horizontal="center" vertical="center"/>
    </xf>
    <xf numFmtId="165" fontId="14" fillId="6" borderId="20" xfId="8" applyNumberFormat="1" applyFont="1" applyFill="1" applyBorder="1" applyAlignment="1">
      <alignment horizontal="center" vertical="center"/>
    </xf>
    <xf numFmtId="165" fontId="14" fillId="0" borderId="16" xfId="8" applyNumberFormat="1" applyFont="1" applyBorder="1" applyAlignment="1">
      <alignment horizontal="center"/>
    </xf>
    <xf numFmtId="165" fontId="14" fillId="0" borderId="32" xfId="8" applyNumberFormat="1" applyFont="1" applyBorder="1" applyAlignment="1">
      <alignment horizontal="center"/>
    </xf>
    <xf numFmtId="165" fontId="14" fillId="0" borderId="18" xfId="8" applyNumberFormat="1" applyFont="1" applyBorder="1" applyAlignment="1">
      <alignment horizontal="center"/>
    </xf>
    <xf numFmtId="165" fontId="14" fillId="0" borderId="38" xfId="8" applyNumberFormat="1" applyFont="1" applyBorder="1" applyAlignment="1">
      <alignment horizontal="center"/>
    </xf>
    <xf numFmtId="165" fontId="14" fillId="0" borderId="33" xfId="8" applyNumberFormat="1" applyFont="1" applyBorder="1" applyAlignment="1">
      <alignment horizontal="center"/>
    </xf>
    <xf numFmtId="165" fontId="14" fillId="6" borderId="18" xfId="8" applyNumberFormat="1" applyFont="1" applyFill="1" applyBorder="1" applyAlignment="1">
      <alignment horizontal="center" vertical="center"/>
    </xf>
    <xf numFmtId="165" fontId="14" fillId="6" borderId="21" xfId="8" applyNumberFormat="1" applyFont="1" applyFill="1" applyBorder="1" applyAlignment="1">
      <alignment horizontal="center" vertical="center"/>
    </xf>
    <xf numFmtId="0" fontId="14" fillId="0" borderId="27" xfId="6" applyBorder="1" applyAlignment="1">
      <alignment horizontal="center"/>
    </xf>
    <xf numFmtId="167" fontId="14" fillId="6" borderId="27" xfId="8" applyNumberFormat="1" applyFont="1" applyFill="1" applyBorder="1" applyAlignment="1">
      <alignment horizontal="center" vertical="center"/>
    </xf>
    <xf numFmtId="167" fontId="14" fillId="6" borderId="29" xfId="8" applyNumberFormat="1" applyFont="1" applyFill="1" applyBorder="1" applyAlignment="1">
      <alignment horizontal="center" vertical="center"/>
    </xf>
    <xf numFmtId="0" fontId="14" fillId="0" borderId="29" xfId="6" applyBorder="1" applyAlignment="1">
      <alignment horizontal="center"/>
    </xf>
    <xf numFmtId="0" fontId="14" fillId="0" borderId="28" xfId="6" applyBorder="1" applyAlignment="1">
      <alignment horizontal="center"/>
    </xf>
    <xf numFmtId="0" fontId="16" fillId="0" borderId="0" xfId="7"/>
    <xf numFmtId="0" fontId="1" fillId="2" borderId="1" xfId="1" applyAlignment="1">
      <alignment horizontal="center"/>
    </xf>
    <xf numFmtId="167" fontId="14" fillId="6" borderId="3" xfId="8" applyNumberFormat="1" applyFont="1" applyFill="1" applyBorder="1" applyAlignment="1">
      <alignment horizontal="center" vertical="center"/>
    </xf>
    <xf numFmtId="167" fontId="14" fillId="6" borderId="20" xfId="8" applyNumberFormat="1" applyFont="1" applyFill="1" applyBorder="1" applyAlignment="1">
      <alignment horizontal="center" vertical="center"/>
    </xf>
    <xf numFmtId="165" fontId="14" fillId="6" borderId="3" xfId="8" applyNumberFormat="1" applyFont="1" applyFill="1" applyBorder="1" applyAlignment="1">
      <alignment horizontal="center" vertical="center"/>
    </xf>
    <xf numFmtId="165" fontId="14" fillId="6" borderId="20" xfId="8" applyNumberFormat="1" applyFont="1" applyFill="1" applyBorder="1" applyAlignment="1">
      <alignment horizontal="center" vertical="center"/>
    </xf>
    <xf numFmtId="0" fontId="14" fillId="0" borderId="3" xfId="6" applyBorder="1" applyAlignment="1">
      <alignment horizontal="center" vertical="center"/>
    </xf>
    <xf numFmtId="165" fontId="14" fillId="0" borderId="3" xfId="8" applyNumberFormat="1" applyFont="1" applyBorder="1" applyAlignment="1">
      <alignment horizontal="center" vertical="center"/>
    </xf>
    <xf numFmtId="165" fontId="14" fillId="6" borderId="18" xfId="8" applyNumberFormat="1" applyFont="1" applyFill="1" applyBorder="1" applyAlignment="1">
      <alignment horizontal="center" vertical="center"/>
    </xf>
    <xf numFmtId="165" fontId="14" fillId="6" borderId="21" xfId="8" applyNumberFormat="1" applyFont="1" applyFill="1" applyBorder="1" applyAlignment="1">
      <alignment horizontal="center" vertical="center"/>
    </xf>
    <xf numFmtId="165" fontId="14" fillId="0" borderId="32" xfId="8" applyNumberFormat="1" applyFont="1" applyBorder="1" applyAlignment="1">
      <alignment horizontal="center" vertical="center"/>
    </xf>
    <xf numFmtId="165" fontId="14" fillId="0" borderId="18" xfId="8" applyNumberFormat="1" applyFont="1" applyBorder="1" applyAlignment="1">
      <alignment horizontal="center" vertical="center"/>
    </xf>
    <xf numFmtId="165" fontId="14" fillId="0" borderId="38" xfId="8" applyNumberFormat="1" applyFont="1" applyBorder="1" applyAlignment="1">
      <alignment horizontal="center" vertical="center"/>
    </xf>
    <xf numFmtId="165" fontId="14" fillId="0" borderId="33" xfId="8" applyNumberFormat="1" applyFont="1" applyBorder="1" applyAlignment="1">
      <alignment horizontal="center" vertical="center"/>
    </xf>
    <xf numFmtId="165" fontId="14" fillId="0" borderId="15" xfId="8" applyNumberFormat="1" applyFont="1" applyBorder="1" applyAlignment="1">
      <alignment horizontal="center" vertical="center"/>
    </xf>
    <xf numFmtId="165" fontId="14" fillId="0" borderId="16" xfId="8" applyNumberFormat="1" applyFont="1" applyBorder="1" applyAlignment="1">
      <alignment horizontal="center" vertical="center"/>
    </xf>
    <xf numFmtId="0" fontId="14" fillId="0" borderId="34" xfId="6" applyBorder="1" applyAlignment="1">
      <alignment horizontal="center" vertical="center"/>
    </xf>
    <xf numFmtId="0" fontId="14" fillId="0" borderId="15" xfId="6" applyBorder="1" applyAlignment="1">
      <alignment horizontal="center" vertical="center"/>
    </xf>
    <xf numFmtId="167" fontId="13" fillId="5" borderId="31" xfId="5" applyNumberFormat="1" applyBorder="1" applyAlignment="1">
      <alignment horizontal="center" vertical="center"/>
    </xf>
    <xf numFmtId="167" fontId="13" fillId="5" borderId="27" xfId="5" applyNumberFormat="1" applyBorder="1" applyAlignment="1">
      <alignment horizontal="center" vertical="center"/>
    </xf>
    <xf numFmtId="165" fontId="13" fillId="5" borderId="3" xfId="5" applyNumberFormat="1" applyBorder="1" applyAlignment="1">
      <alignment horizontal="center" vertical="center"/>
    </xf>
    <xf numFmtId="165" fontId="13" fillId="5" borderId="18" xfId="5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34" xfId="0" applyBorder="1" applyAlignment="1">
      <alignment horizontal="center"/>
    </xf>
    <xf numFmtId="0" fontId="0" fillId="0" borderId="14" xfId="0" applyBorder="1" applyAlignment="1">
      <alignment horizontal="center"/>
    </xf>
    <xf numFmtId="9" fontId="0" fillId="0" borderId="16" xfId="0" applyNumberFormat="1" applyBorder="1"/>
    <xf numFmtId="0" fontId="0" fillId="0" borderId="17" xfId="0" applyBorder="1" applyAlignment="1">
      <alignment horizontal="center"/>
    </xf>
    <xf numFmtId="165" fontId="0" fillId="0" borderId="18" xfId="4" applyNumberFormat="1" applyFont="1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1" xfId="0" applyBorder="1"/>
    <xf numFmtId="11" fontId="1" fillId="2" borderId="1" xfId="1" applyNumberFormat="1" applyAlignment="1">
      <alignment horizontal="center"/>
    </xf>
    <xf numFmtId="167" fontId="2" fillId="3" borderId="2" xfId="2" applyNumberFormat="1" applyAlignment="1">
      <alignment horizontal="center"/>
    </xf>
    <xf numFmtId="2" fontId="2" fillId="3" borderId="2" xfId="2" applyNumberFormat="1" applyAlignment="1">
      <alignment horizontal="center"/>
    </xf>
    <xf numFmtId="166" fontId="2" fillId="3" borderId="2" xfId="2" applyNumberFormat="1" applyAlignment="1">
      <alignment horizontal="center"/>
    </xf>
    <xf numFmtId="1" fontId="2" fillId="3" borderId="2" xfId="2" applyNumberFormat="1" applyAlignment="1">
      <alignment horizontal="center"/>
    </xf>
    <xf numFmtId="37" fontId="2" fillId="3" borderId="2" xfId="3" applyNumberFormat="1" applyFont="1" applyFill="1" applyBorder="1" applyAlignment="1">
      <alignment horizontal="center"/>
    </xf>
    <xf numFmtId="11" fontId="0" fillId="4" borderId="8" xfId="0" applyNumberFormat="1" applyFill="1" applyBorder="1" applyAlignment="1">
      <alignment horizontal="center"/>
    </xf>
    <xf numFmtId="3" fontId="2" fillId="3" borderId="2" xfId="2" applyNumberFormat="1" applyAlignment="1">
      <alignment horizontal="center"/>
    </xf>
    <xf numFmtId="3" fontId="1" fillId="2" borderId="1" xfId="1" applyNumberFormat="1" applyAlignment="1">
      <alignment horizontal="center"/>
    </xf>
    <xf numFmtId="0" fontId="0" fillId="0" borderId="3" xfId="0" applyBorder="1" applyAlignment="1">
      <alignment horizontal="right"/>
    </xf>
    <xf numFmtId="168" fontId="2" fillId="3" borderId="2" xfId="2" applyNumberFormat="1" applyAlignment="1">
      <alignment horizontal="center"/>
    </xf>
    <xf numFmtId="0" fontId="0" fillId="0" borderId="3" xfId="0" applyFill="1" applyBorder="1" applyAlignment="1">
      <alignment horizontal="right"/>
    </xf>
    <xf numFmtId="166" fontId="0" fillId="0" borderId="3" xfId="0" applyNumberFormat="1" applyBorder="1" applyAlignment="1">
      <alignment horizontal="center"/>
    </xf>
    <xf numFmtId="165" fontId="1" fillId="2" borderId="1" xfId="4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4" borderId="39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9" fontId="10" fillId="0" borderId="3" xfId="4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9" fontId="10" fillId="0" borderId="3" xfId="4" applyNumberFormat="1" applyFont="1" applyBorder="1" applyAlignment="1">
      <alignment horizontal="center" wrapText="1"/>
    </xf>
    <xf numFmtId="9" fontId="10" fillId="0" borderId="3" xfId="4" applyFont="1" applyFill="1" applyBorder="1" applyAlignment="1">
      <alignment horizontal="center" wrapText="1"/>
    </xf>
    <xf numFmtId="165" fontId="0" fillId="0" borderId="3" xfId="4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2" fontId="0" fillId="0" borderId="3" xfId="4" applyNumberFormat="1" applyFont="1" applyBorder="1" applyAlignment="1">
      <alignment horizontal="center"/>
    </xf>
    <xf numFmtId="9" fontId="0" fillId="0" borderId="3" xfId="4" applyFont="1" applyBorder="1" applyAlignment="1">
      <alignment horizontal="center"/>
    </xf>
    <xf numFmtId="9" fontId="1" fillId="2" borderId="3" xfId="1" applyNumberFormat="1" applyBorder="1" applyAlignment="1">
      <alignment horizontal="center"/>
    </xf>
    <xf numFmtId="9" fontId="0" fillId="0" borderId="3" xfId="4" applyNumberFormat="1" applyFont="1" applyBorder="1" applyAlignment="1">
      <alignment horizontal="center"/>
    </xf>
    <xf numFmtId="9" fontId="10" fillId="0" borderId="3" xfId="4" applyNumberFormat="1" applyFont="1" applyBorder="1" applyAlignment="1">
      <alignment horizontal="center"/>
    </xf>
    <xf numFmtId="9" fontId="10" fillId="0" borderId="3" xfId="4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/>
    <xf numFmtId="11" fontId="0" fillId="0" borderId="3" xfId="0" applyNumberFormat="1" applyBorder="1"/>
    <xf numFmtId="11" fontId="0" fillId="0" borderId="27" xfId="0" applyNumberFormat="1" applyBorder="1" applyAlignment="1">
      <alignment horizontal="center"/>
    </xf>
    <xf numFmtId="11" fontId="0" fillId="0" borderId="20" xfId="0" applyNumberFormat="1" applyBorder="1"/>
    <xf numFmtId="11" fontId="0" fillId="0" borderId="18" xfId="0" applyNumberFormat="1" applyBorder="1"/>
    <xf numFmtId="11" fontId="0" fillId="0" borderId="21" xfId="0" applyNumberFormat="1" applyBorder="1"/>
    <xf numFmtId="11" fontId="0" fillId="0" borderId="20" xfId="0" applyNumberFormat="1" applyFont="1" applyFill="1" applyBorder="1" applyAlignment="1">
      <alignment horizontal="center"/>
    </xf>
    <xf numFmtId="11" fontId="0" fillId="0" borderId="0" xfId="0" applyNumberFormat="1" applyAlignment="1">
      <alignment horizontal="left"/>
    </xf>
    <xf numFmtId="11" fontId="0" fillId="0" borderId="29" xfId="0" applyNumberFormat="1" applyBorder="1" applyAlignment="1">
      <alignment horizontal="center"/>
    </xf>
    <xf numFmtId="11" fontId="0" fillId="0" borderId="42" xfId="0" applyNumberFormat="1" applyBorder="1"/>
    <xf numFmtId="11" fontId="0" fillId="0" borderId="40" xfId="0" applyNumberFormat="1" applyBorder="1"/>
    <xf numFmtId="0" fontId="0" fillId="0" borderId="34" xfId="0" applyBorder="1"/>
    <xf numFmtId="11" fontId="0" fillId="4" borderId="43" xfId="0" applyNumberFormat="1" applyFill="1" applyBorder="1"/>
    <xf numFmtId="11" fontId="0" fillId="4" borderId="44" xfId="0" applyNumberFormat="1" applyFill="1" applyBorder="1"/>
    <xf numFmtId="11" fontId="0" fillId="4" borderId="45" xfId="0" applyNumberFormat="1" applyFill="1" applyBorder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1" applyAlignment="1">
      <alignment horizontal="center"/>
    </xf>
    <xf numFmtId="3" fontId="0" fillId="0" borderId="0" xfId="0" applyNumberFormat="1" applyAlignment="1">
      <alignment horizontal="center"/>
    </xf>
    <xf numFmtId="37" fontId="0" fillId="0" borderId="0" xfId="3" applyNumberFormat="1" applyFont="1" applyAlignment="1">
      <alignment horizontal="center"/>
    </xf>
    <xf numFmtId="169" fontId="0" fillId="0" borderId="0" xfId="4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2" fontId="0" fillId="0" borderId="0" xfId="4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46" xfId="0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1" applyAlignment="1">
      <alignment horizontal="center"/>
    </xf>
    <xf numFmtId="0" fontId="15" fillId="0" borderId="14" xfId="6" applyFont="1" applyBorder="1" applyAlignment="1">
      <alignment horizontal="center" vertical="center" textRotation="90"/>
    </xf>
    <xf numFmtId="0" fontId="15" fillId="0" borderId="17" xfId="6" applyFont="1" applyBorder="1" applyAlignment="1">
      <alignment horizontal="center" vertical="center" textRotation="90"/>
    </xf>
    <xf numFmtId="0" fontId="15" fillId="0" borderId="19" xfId="6" applyFont="1" applyBorder="1" applyAlignment="1">
      <alignment horizontal="center" vertical="center" textRotation="90"/>
    </xf>
    <xf numFmtId="0" fontId="15" fillId="0" borderId="15" xfId="6" applyFont="1" applyBorder="1" applyAlignment="1">
      <alignment horizontal="center" vertical="center" textRotation="90"/>
    </xf>
    <xf numFmtId="0" fontId="15" fillId="0" borderId="3" xfId="6" applyFont="1" applyBorder="1" applyAlignment="1">
      <alignment horizontal="center" vertical="center" textRotation="90"/>
    </xf>
    <xf numFmtId="0" fontId="15" fillId="0" borderId="20" xfId="6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15" fillId="0" borderId="11" xfId="6" applyFont="1" applyBorder="1" applyAlignment="1">
      <alignment horizontal="center" vertical="center" wrapText="1"/>
    </xf>
    <xf numFmtId="0" fontId="15" fillId="0" borderId="37" xfId="6" applyFont="1" applyBorder="1" applyAlignment="1">
      <alignment horizontal="center" vertical="center" wrapText="1"/>
    </xf>
    <xf numFmtId="0" fontId="15" fillId="0" borderId="9" xfId="6" applyFont="1" applyBorder="1" applyAlignment="1">
      <alignment horizontal="center" vertical="center" textRotation="90"/>
    </xf>
    <xf numFmtId="0" fontId="15" fillId="0" borderId="10" xfId="6" applyFont="1" applyBorder="1" applyAlignment="1">
      <alignment horizontal="center" vertical="center" textRotation="90"/>
    </xf>
    <xf numFmtId="0" fontId="15" fillId="0" borderId="12" xfId="6" applyFont="1" applyBorder="1" applyAlignment="1">
      <alignment horizontal="center" vertical="center" textRotation="90"/>
    </xf>
    <xf numFmtId="0" fontId="15" fillId="0" borderId="0" xfId="6" applyFont="1" applyBorder="1" applyAlignment="1">
      <alignment horizontal="center" vertical="center" textRotation="90"/>
    </xf>
    <xf numFmtId="0" fontId="15" fillId="0" borderId="25" xfId="6" applyFont="1" applyBorder="1" applyAlignment="1">
      <alignment horizontal="center" vertical="center" wrapText="1"/>
    </xf>
    <xf numFmtId="0" fontId="15" fillId="0" borderId="30" xfId="6" applyFont="1" applyBorder="1" applyAlignment="1">
      <alignment horizontal="center" vertical="center" wrapText="1"/>
    </xf>
    <xf numFmtId="0" fontId="15" fillId="0" borderId="10" xfId="6" applyFont="1" applyBorder="1" applyAlignment="1">
      <alignment horizontal="center" vertical="center" wrapText="1"/>
    </xf>
    <xf numFmtId="0" fontId="15" fillId="0" borderId="26" xfId="6" applyFont="1" applyBorder="1" applyAlignment="1">
      <alignment horizontal="center" vertical="center" wrapText="1"/>
    </xf>
    <xf numFmtId="0" fontId="15" fillId="0" borderId="15" xfId="6" applyFont="1" applyBorder="1" applyAlignment="1">
      <alignment horizontal="center" vertical="center" wrapText="1"/>
    </xf>
    <xf numFmtId="0" fontId="15" fillId="0" borderId="3" xfId="6" applyFont="1" applyBorder="1" applyAlignment="1">
      <alignment horizontal="center" vertical="center" wrapText="1"/>
    </xf>
    <xf numFmtId="0" fontId="15" fillId="0" borderId="10" xfId="6" applyFont="1" applyBorder="1" applyAlignment="1">
      <alignment horizontal="center" wrapText="1"/>
    </xf>
    <xf numFmtId="0" fontId="15" fillId="0" borderId="26" xfId="6" applyFont="1" applyBorder="1" applyAlignment="1">
      <alignment horizontal="center" wrapText="1"/>
    </xf>
    <xf numFmtId="0" fontId="15" fillId="0" borderId="11" xfId="6" applyFont="1" applyBorder="1" applyAlignment="1">
      <alignment horizontal="center" wrapText="1"/>
    </xf>
    <xf numFmtId="0" fontId="15" fillId="0" borderId="37" xfId="6" applyFont="1" applyBorder="1" applyAlignment="1">
      <alignment horizontal="center" wrapText="1"/>
    </xf>
  </cellXfs>
  <cellStyles count="9">
    <cellStyle name="Bad" xfId="5" builtinId="27"/>
    <cellStyle name="Comma" xfId="3" builtinId="3"/>
    <cellStyle name="Hyperlink" xfId="7" builtinId="8"/>
    <cellStyle name="Input" xfId="1" builtinId="20"/>
    <cellStyle name="Normal" xfId="0" builtinId="0"/>
    <cellStyle name="Normal 2" xfId="6"/>
    <cellStyle name="Output" xfId="2" builtinId="21"/>
    <cellStyle name="Percent" xfId="4" builtinId="5"/>
    <cellStyle name="Percent 2" xfId="8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Pit Material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700124654732183"/>
          <c:y val="0.19480351414406533"/>
          <c:w val="0.75015367967031832"/>
          <c:h val="0.6346808431455064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'Material Gradations'!$H$1:$M$1</c:f>
              <c:strCache>
                <c:ptCount val="1"/>
                <c:pt idx="0">
                  <c:v>Pit Material</c:v>
                </c:pt>
              </c:strCache>
            </c:strRef>
          </c:tx>
          <c:xVal>
            <c:numRef>
              <c:f>'Material Gradations'!$K$4:$K$23</c:f>
              <c:numCache>
                <c:formatCode>General</c:formatCode>
                <c:ptCount val="20"/>
                <c:pt idx="0">
                  <c:v>50.8</c:v>
                </c:pt>
                <c:pt idx="1">
                  <c:v>38.1</c:v>
                </c:pt>
                <c:pt idx="2">
                  <c:v>25.4</c:v>
                </c:pt>
                <c:pt idx="3">
                  <c:v>19</c:v>
                </c:pt>
                <c:pt idx="4">
                  <c:v>12.7</c:v>
                </c:pt>
                <c:pt idx="5">
                  <c:v>9.51</c:v>
                </c:pt>
                <c:pt idx="6">
                  <c:v>4.76</c:v>
                </c:pt>
                <c:pt idx="7">
                  <c:v>2.38</c:v>
                </c:pt>
                <c:pt idx="8">
                  <c:v>2</c:v>
                </c:pt>
                <c:pt idx="9">
                  <c:v>0.25</c:v>
                </c:pt>
                <c:pt idx="10">
                  <c:v>0.17699999999999999</c:v>
                </c:pt>
                <c:pt idx="11">
                  <c:v>0.14899999999999999</c:v>
                </c:pt>
                <c:pt idx="12">
                  <c:v>7.3999999999999996E-2</c:v>
                </c:pt>
                <c:pt idx="13" formatCode="0.0000">
                  <c:v>3.5332148958137265E-2</c:v>
                </c:pt>
                <c:pt idx="14" formatCode="0.0000">
                  <c:v>2.2594770412641949E-2</c:v>
                </c:pt>
                <c:pt idx="15" formatCode="0.0000">
                  <c:v>1.3139971461156223E-2</c:v>
                </c:pt>
                <c:pt idx="16" formatCode="0.0000">
                  <c:v>9.2913629247812733E-3</c:v>
                </c:pt>
                <c:pt idx="17" formatCode="0.0000">
                  <c:v>6.6871069977980768E-3</c:v>
                </c:pt>
                <c:pt idx="18" formatCode="0.0000">
                  <c:v>3.2687262840439854E-3</c:v>
                </c:pt>
                <c:pt idx="19" formatCode="0.0000">
                  <c:v>1.3757967388632185E-3</c:v>
                </c:pt>
              </c:numCache>
            </c:numRef>
          </c:xVal>
          <c:yVal>
            <c:numRef>
              <c:f>'Material Gradations'!$L$4:$L$23</c:f>
              <c:numCache>
                <c:formatCode>0.0%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0.97863247863247871</c:v>
                </c:pt>
                <c:pt idx="10">
                  <c:v>0.92307692307692302</c:v>
                </c:pt>
                <c:pt idx="11">
                  <c:v>0.86752136752136733</c:v>
                </c:pt>
                <c:pt idx="12">
                  <c:v>0.67094017094017089</c:v>
                </c:pt>
                <c:pt idx="13">
                  <c:v>0.50655027150753174</c:v>
                </c:pt>
                <c:pt idx="14">
                  <c:v>0.46050024682503354</c:v>
                </c:pt>
                <c:pt idx="15">
                  <c:v>0.41445022214252503</c:v>
                </c:pt>
                <c:pt idx="16">
                  <c:v>0.41445022214252503</c:v>
                </c:pt>
                <c:pt idx="17">
                  <c:v>0.34537518511877763</c:v>
                </c:pt>
                <c:pt idx="18">
                  <c:v>0.27630014809502013</c:v>
                </c:pt>
                <c:pt idx="19">
                  <c:v>0.25327513575377103</c:v>
                </c:pt>
              </c:numCache>
            </c:numRef>
          </c:yVal>
          <c:smooth val="1"/>
        </c:ser>
        <c:ser>
          <c:idx val="1"/>
          <c:order val="1"/>
          <c:tx>
            <c:v>Particle Size to Use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Vs!$Z$4:$Z$5</c:f>
              <c:numCache>
                <c:formatCode>General</c:formatCode>
                <c:ptCount val="2"/>
                <c:pt idx="0">
                  <c:v>1.3757967388632185E-3</c:v>
                </c:pt>
                <c:pt idx="1">
                  <c:v>50.8</c:v>
                </c:pt>
              </c:numCache>
            </c:numRef>
          </c:xVal>
          <c:yVal>
            <c:numRef>
              <c:f>Vs!$AA$4:$AA$5</c:f>
              <c:numCache>
                <c:formatCode>0%</c:formatCode>
                <c:ptCount val="2"/>
                <c:pt idx="0">
                  <c:v>0.35</c:v>
                </c:pt>
                <c:pt idx="1">
                  <c:v>0.35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734528"/>
        <c:axId val="156735104"/>
      </c:scatterChart>
      <c:valAx>
        <c:axId val="156734528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Particle</a:t>
                </a:r>
                <a:r>
                  <a:rPr lang="en-US" baseline="0"/>
                  <a:t> Size (mm)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6735104"/>
        <c:crosses val="autoZero"/>
        <c:crossBetween val="midCat"/>
      </c:valAx>
      <c:valAx>
        <c:axId val="15673510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</a:t>
                </a:r>
                <a:r>
                  <a:rPr lang="en-US" baseline="0"/>
                  <a:t> Passing</a:t>
                </a:r>
                <a:endParaRPr lang="en-US"/>
              </a:p>
            </c:rich>
          </c:tx>
          <c:layout/>
          <c:overlay val="0"/>
        </c:title>
        <c:numFmt formatCode="0.0%" sourceLinked="1"/>
        <c:majorTickMark val="out"/>
        <c:minorTickMark val="none"/>
        <c:tickLblPos val="low"/>
        <c:crossAx val="1567345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56498490813648294"/>
          <c:y val="0.35372484689413825"/>
          <c:w val="0.30561759637804481"/>
          <c:h val="0.27418689935329837"/>
        </c:manualLayout>
      </c:layout>
      <c:overlay val="0"/>
      <c:spPr>
        <a:solidFill>
          <a:schemeClr val="bg1"/>
        </a:solidFill>
        <a:ln>
          <a:solidFill>
            <a:schemeClr val="bg1">
              <a:lumMod val="75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Rock</a:t>
            </a:r>
            <a:r>
              <a:rPr lang="en-US" baseline="0"/>
              <a:t> Trap Material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703018372703412"/>
          <c:y val="0.19480351414406533"/>
          <c:w val="0.83517825896762909"/>
          <c:h val="0.689216608340624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'Material Gradations'!$A$1:$F$1</c:f>
              <c:strCache>
                <c:ptCount val="1"/>
                <c:pt idx="0">
                  <c:v>Rock Trap Material</c:v>
                </c:pt>
              </c:strCache>
            </c:strRef>
          </c:tx>
          <c:xVal>
            <c:numRef>
              <c:f>'Material Gradations'!$D$4:$D$23</c:f>
              <c:numCache>
                <c:formatCode>General</c:formatCode>
                <c:ptCount val="20"/>
                <c:pt idx="0">
                  <c:v>50.8</c:v>
                </c:pt>
                <c:pt idx="1">
                  <c:v>38.1</c:v>
                </c:pt>
                <c:pt idx="2">
                  <c:v>25.4</c:v>
                </c:pt>
                <c:pt idx="3">
                  <c:v>19</c:v>
                </c:pt>
                <c:pt idx="4">
                  <c:v>12.7</c:v>
                </c:pt>
                <c:pt idx="5">
                  <c:v>9.51</c:v>
                </c:pt>
                <c:pt idx="6">
                  <c:v>4.76</c:v>
                </c:pt>
                <c:pt idx="7">
                  <c:v>2.38</c:v>
                </c:pt>
                <c:pt idx="8">
                  <c:v>2</c:v>
                </c:pt>
                <c:pt idx="9">
                  <c:v>0.25</c:v>
                </c:pt>
                <c:pt idx="10">
                  <c:v>0.17699999999999999</c:v>
                </c:pt>
                <c:pt idx="11">
                  <c:v>0.14899999999999999</c:v>
                </c:pt>
                <c:pt idx="12">
                  <c:v>7.3999999999999996E-2</c:v>
                </c:pt>
                <c:pt idx="13" formatCode="0.0000">
                  <c:v>3.4499320573019986E-2</c:v>
                </c:pt>
                <c:pt idx="14" formatCode="0.0000">
                  <c:v>2.2067711072968128E-2</c:v>
                </c:pt>
                <c:pt idx="15" formatCode="0.0000">
                  <c:v>1.2976323464936695E-2</c:v>
                </c:pt>
                <c:pt idx="16" formatCode="0.0000">
                  <c:v>9.2741355032872654E-3</c:v>
                </c:pt>
                <c:pt idx="17" formatCode="0.0000">
                  <c:v>6.479966666580933E-3</c:v>
                </c:pt>
                <c:pt idx="18" formatCode="0.0000">
                  <c:v>3.2299283459544426E-3</c:v>
                </c:pt>
                <c:pt idx="19" formatCode="0.0000">
                  <c:v>1.3619692850183273E-3</c:v>
                </c:pt>
              </c:numCache>
            </c:numRef>
          </c:xVal>
          <c:yVal>
            <c:numRef>
              <c:f>'Material Gradations'!$E$4:$E$23</c:f>
              <c:numCache>
                <c:formatCode>0.0%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0.99489795918367241</c:v>
                </c:pt>
                <c:pt idx="10">
                  <c:v>0.98469387755102022</c:v>
                </c:pt>
                <c:pt idx="11">
                  <c:v>0.96938775510204034</c:v>
                </c:pt>
                <c:pt idx="12">
                  <c:v>0.87244897959183676</c:v>
                </c:pt>
                <c:pt idx="13">
                  <c:v>0.85788118586952478</c:v>
                </c:pt>
                <c:pt idx="14">
                  <c:v>0.78639108704705651</c:v>
                </c:pt>
                <c:pt idx="15">
                  <c:v>0.64341088940213564</c:v>
                </c:pt>
                <c:pt idx="16">
                  <c:v>0.6076658399909094</c:v>
                </c:pt>
                <c:pt idx="17">
                  <c:v>0.57192079057968315</c:v>
                </c:pt>
                <c:pt idx="18">
                  <c:v>0.46468564234598864</c:v>
                </c:pt>
                <c:pt idx="19">
                  <c:v>0.43608960281700759</c:v>
                </c:pt>
              </c:numCache>
            </c:numRef>
          </c:yVal>
          <c:smooth val="1"/>
        </c:ser>
        <c:ser>
          <c:idx val="1"/>
          <c:order val="1"/>
          <c:tx>
            <c:v>Extrapolated Data</c:v>
          </c:tx>
          <c:marker>
            <c:symbol val="none"/>
          </c:marker>
          <c:xVal>
            <c:numRef>
              <c:f>'Material Gradations'!$C$24:$C$31</c:f>
              <c:numCache>
                <c:formatCode>0.0000</c:formatCode>
                <c:ptCount val="8"/>
                <c:pt idx="0">
                  <c:v>1.3619692850183273E-3</c:v>
                </c:pt>
                <c:pt idx="1">
                  <c:v>5.7430386517914953E-4</c:v>
                </c:pt>
                <c:pt idx="2">
                  <c:v>2.4216767087759434E-4</c:v>
                </c:pt>
                <c:pt idx="3">
                  <c:v>1.0211524660379041E-4</c:v>
                </c:pt>
                <c:pt idx="4">
                  <c:v>4.3059106738585299E-5</c:v>
                </c:pt>
                <c:pt idx="5">
                  <c:v>1.8156805519148207E-5</c:v>
                </c:pt>
                <c:pt idx="6">
                  <c:v>7.6562105354766587E-6</c:v>
                </c:pt>
                <c:pt idx="7">
                  <c:v>3.2284070951647071E-6</c:v>
                </c:pt>
              </c:numCache>
            </c:numRef>
          </c:xVal>
          <c:yVal>
            <c:numRef>
              <c:f>'Material Gradations'!$E$24:$E$31</c:f>
              <c:numCache>
                <c:formatCode>0.0%</c:formatCode>
                <c:ptCount val="8"/>
                <c:pt idx="0">
                  <c:v>0.43608960281700759</c:v>
                </c:pt>
                <c:pt idx="1">
                  <c:v>0.3860896028170076</c:v>
                </c:pt>
                <c:pt idx="2">
                  <c:v>0.33608960281700762</c:v>
                </c:pt>
                <c:pt idx="3">
                  <c:v>0.28608960281700763</c:v>
                </c:pt>
                <c:pt idx="4">
                  <c:v>0.23608960281700764</c:v>
                </c:pt>
                <c:pt idx="5">
                  <c:v>0.18608960281700765</c:v>
                </c:pt>
                <c:pt idx="6">
                  <c:v>0.13608960281700766</c:v>
                </c:pt>
                <c:pt idx="7">
                  <c:v>8.6089602817007657E-2</c:v>
                </c:pt>
              </c:numCache>
            </c:numRef>
          </c:yVal>
          <c:smooth val="1"/>
        </c:ser>
        <c:ser>
          <c:idx val="2"/>
          <c:order val="2"/>
          <c:tx>
            <c:v>Particle Size To Use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Vs!$AD$4:$AD$5</c:f>
              <c:numCache>
                <c:formatCode>General</c:formatCode>
                <c:ptCount val="2"/>
                <c:pt idx="0">
                  <c:v>3.2284070951647071E-6</c:v>
                </c:pt>
                <c:pt idx="1">
                  <c:v>50.8</c:v>
                </c:pt>
              </c:numCache>
            </c:numRef>
          </c:xVal>
          <c:yVal>
            <c:numRef>
              <c:f>Vs!$AE$4:$AE$5</c:f>
              <c:numCache>
                <c:formatCode>0%</c:formatCode>
                <c:ptCount val="2"/>
                <c:pt idx="0">
                  <c:v>0.35</c:v>
                </c:pt>
                <c:pt idx="1">
                  <c:v>0.35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906560"/>
        <c:axId val="165928960"/>
      </c:scatterChart>
      <c:valAx>
        <c:axId val="158906560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5928960"/>
        <c:crosses val="autoZero"/>
        <c:crossBetween val="midCat"/>
      </c:valAx>
      <c:valAx>
        <c:axId val="165928960"/>
        <c:scaling>
          <c:orientation val="minMax"/>
          <c:max val="1"/>
          <c:min val="0"/>
        </c:scaling>
        <c:delete val="0"/>
        <c:axPos val="l"/>
        <c:majorGridlines/>
        <c:numFmt formatCode="0.0%" sourceLinked="1"/>
        <c:majorTickMark val="out"/>
        <c:minorTickMark val="none"/>
        <c:tickLblPos val="low"/>
        <c:crossAx val="15890656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3574868766404202"/>
          <c:y val="0.32112569262175567"/>
          <c:w val="0.33593596963482153"/>
          <c:h val="0.24654212149059149"/>
        </c:manualLayout>
      </c:layout>
      <c:overlay val="0"/>
      <c:spPr>
        <a:solidFill>
          <a:schemeClr val="bg1"/>
        </a:solidFill>
        <a:ln>
          <a:solidFill>
            <a:schemeClr val="bg1">
              <a:lumMod val="75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241114772069463E-2"/>
          <c:y val="5.0696436917987989E-2"/>
          <c:w val="0.86477212641537504"/>
          <c:h val="0.7718493296446052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Vs!$U$74</c:f>
              <c:strCache>
                <c:ptCount val="1"/>
                <c:pt idx="0">
                  <c:v>left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Vs!$W$74:$W$75</c:f>
              <c:numCache>
                <c:formatCode>General</c:formatCode>
                <c:ptCount val="2"/>
                <c:pt idx="0">
                  <c:v>0.1</c:v>
                </c:pt>
                <c:pt idx="1">
                  <c:v>0.1</c:v>
                </c:pt>
              </c:numCache>
            </c:numRef>
          </c:xVal>
          <c:yVal>
            <c:numRef>
              <c:f>Vs!$X$74:$X$75</c:f>
              <c:numCache>
                <c:formatCode>General</c:formatCode>
                <c:ptCount val="2"/>
                <c:pt idx="0">
                  <c:v>0.1</c:v>
                </c:pt>
                <c:pt idx="1">
                  <c:v>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Vs!$U$76</c:f>
              <c:strCache>
                <c:ptCount val="1"/>
                <c:pt idx="0">
                  <c:v>right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Vs!$W$76:$W$77</c:f>
              <c:numCache>
                <c:formatCode>General</c:formatCode>
                <c:ptCount val="2"/>
                <c:pt idx="0">
                  <c:v>88</c:v>
                </c:pt>
                <c:pt idx="1">
                  <c:v>88</c:v>
                </c:pt>
              </c:numCache>
            </c:numRef>
          </c:xVal>
          <c:yVal>
            <c:numRef>
              <c:f>Vs!$X$76:$X$77</c:f>
              <c:numCache>
                <c:formatCode>General</c:formatCode>
                <c:ptCount val="2"/>
                <c:pt idx="0">
                  <c:v>0.1</c:v>
                </c:pt>
                <c:pt idx="1">
                  <c:v>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Vs!$U$80</c:f>
              <c:strCache>
                <c:ptCount val="1"/>
                <c:pt idx="0">
                  <c:v>bot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Vs!$W$80:$W$81</c:f>
              <c:numCache>
                <c:formatCode>General</c:formatCode>
                <c:ptCount val="2"/>
                <c:pt idx="0">
                  <c:v>0.1</c:v>
                </c:pt>
                <c:pt idx="1">
                  <c:v>88</c:v>
                </c:pt>
              </c:numCache>
            </c:numRef>
          </c:xVal>
          <c:yVal>
            <c:numRef>
              <c:f>Vs!$X$80:$X$81</c:f>
              <c:numCache>
                <c:formatCode>General</c:formatCode>
                <c:ptCount val="2"/>
                <c:pt idx="0">
                  <c:v>0.1</c:v>
                </c:pt>
                <c:pt idx="1">
                  <c:v>0.1</c:v>
                </c:pt>
              </c:numCache>
            </c:numRef>
          </c:yVal>
          <c:smooth val="1"/>
        </c:ser>
        <c:ser>
          <c:idx val="3"/>
          <c:order val="3"/>
          <c:tx>
            <c:v>Particle Path</c:v>
          </c:tx>
          <c:marker>
            <c:symbol val="none"/>
          </c:marker>
          <c:xVal>
            <c:numRef>
              <c:f>Vs!$W$84:$W$87</c:f>
              <c:numCache>
                <c:formatCode>0.0</c:formatCode>
                <c:ptCount val="4"/>
                <c:pt idx="0">
                  <c:v>0.1</c:v>
                </c:pt>
                <c:pt idx="3">
                  <c:v>86.593194038064325</c:v>
                </c:pt>
              </c:numCache>
            </c:numRef>
          </c:xVal>
          <c:yVal>
            <c:numRef>
              <c:f>Vs!$X$84:$X$87</c:f>
              <c:numCache>
                <c:formatCode>0.0</c:formatCode>
                <c:ptCount val="4"/>
                <c:pt idx="0">
                  <c:v>2</c:v>
                </c:pt>
                <c:pt idx="3">
                  <c:v>0.1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931840"/>
        <c:axId val="165932416"/>
      </c:scatterChart>
      <c:valAx>
        <c:axId val="16593184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Tank Length</a:t>
                </a:r>
                <a:r>
                  <a:rPr lang="en-US" baseline="0"/>
                  <a:t> (ft)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crossAx val="165932416"/>
        <c:crosses val="autoZero"/>
        <c:crossBetween val="midCat"/>
      </c:valAx>
      <c:valAx>
        <c:axId val="16593241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Tank Depth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low"/>
        <c:crossAx val="16593184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44887427239307076"/>
          <c:y val="0.11018940200042562"/>
          <c:w val="0.23552400798166376"/>
          <c:h val="0.3258182592040859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Vs!$F$42</c:f>
              <c:strCache>
                <c:ptCount val="1"/>
                <c:pt idx="0">
                  <c:v>Collection Efficiency</c:v>
                </c:pt>
              </c:strCache>
            </c:strRef>
          </c:tx>
          <c:marker>
            <c:symbol val="none"/>
          </c:marker>
          <c:xVal>
            <c:numRef>
              <c:f>Vs!$B$44:$B$54</c:f>
              <c:numCache>
                <c:formatCode>0%</c:formatCode>
                <c:ptCount val="11"/>
                <c:pt idx="0" formatCode="0.0%">
                  <c:v>2.1367521367521247E-2</c:v>
                </c:pt>
                <c:pt idx="1">
                  <c:v>0.64</c:v>
                </c:pt>
                <c:pt idx="2">
                  <c:v>0.65</c:v>
                </c:pt>
                <c:pt idx="3">
                  <c:v>0.66</c:v>
                </c:pt>
                <c:pt idx="4">
                  <c:v>0.67</c:v>
                </c:pt>
                <c:pt idx="5">
                  <c:v>0.68</c:v>
                </c:pt>
                <c:pt idx="6">
                  <c:v>0.69</c:v>
                </c:pt>
                <c:pt idx="7">
                  <c:v>0.7</c:v>
                </c:pt>
                <c:pt idx="8">
                  <c:v>0.71</c:v>
                </c:pt>
                <c:pt idx="9">
                  <c:v>0.72</c:v>
                </c:pt>
                <c:pt idx="10">
                  <c:v>0.74405237782160605</c:v>
                </c:pt>
              </c:numCache>
            </c:numRef>
          </c:xVal>
          <c:yVal>
            <c:numRef>
              <c:f>Vs!$F$44:$F$54</c:f>
              <c:numCache>
                <c:formatCode>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0.97645753278971703</c:v>
                </c:pt>
                <c:pt idx="3">
                  <c:v>0.85510949264867642</c:v>
                </c:pt>
                <c:pt idx="4">
                  <c:v>0.72838082229233403</c:v>
                </c:pt>
                <c:pt idx="5">
                  <c:v>0.61181069521148701</c:v>
                </c:pt>
                <c:pt idx="6">
                  <c:v>0.50539911140613691</c:v>
                </c:pt>
                <c:pt idx="7">
                  <c:v>0.40914607087628102</c:v>
                </c:pt>
                <c:pt idx="8">
                  <c:v>0.32305157362192127</c:v>
                </c:pt>
                <c:pt idx="9">
                  <c:v>0.24711561964305695</c:v>
                </c:pt>
                <c:pt idx="10">
                  <c:v>5.279589917388755E-2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934720"/>
        <c:axId val="165935296"/>
      </c:scatterChart>
      <c:valAx>
        <c:axId val="165934720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aseline="0"/>
                  <a:t>% Retained by Mass</a:t>
                </a:r>
                <a:endParaRPr lang="en-US"/>
              </a:p>
            </c:rich>
          </c:tx>
          <c:layout/>
          <c:overlay val="0"/>
        </c:title>
        <c:numFmt formatCode="0.0%" sourceLinked="1"/>
        <c:majorTickMark val="out"/>
        <c:minorTickMark val="none"/>
        <c:tickLblPos val="nextTo"/>
        <c:crossAx val="165935296"/>
        <c:crosses val="autoZero"/>
        <c:crossBetween val="midCat"/>
      </c:valAx>
      <c:valAx>
        <c:axId val="165935296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Collection Efficiency</a:t>
                </a:r>
              </a:p>
            </c:rich>
          </c:tx>
          <c:layout/>
          <c:overlay val="0"/>
        </c:title>
        <c:numFmt formatCode="0%" sourceLinked="1"/>
        <c:majorTickMark val="out"/>
        <c:minorTickMark val="none"/>
        <c:tickLblPos val="nextTo"/>
        <c:crossAx val="1659347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'Material Gradations'!$H$1:$M$1</c:f>
              <c:strCache>
                <c:ptCount val="1"/>
                <c:pt idx="0">
                  <c:v>Pit Material</c:v>
                </c:pt>
              </c:strCache>
            </c:strRef>
          </c:tx>
          <c:xVal>
            <c:numRef>
              <c:f>'Material Gradations'!$K$4:$K$23</c:f>
              <c:numCache>
                <c:formatCode>General</c:formatCode>
                <c:ptCount val="20"/>
                <c:pt idx="0">
                  <c:v>50.8</c:v>
                </c:pt>
                <c:pt idx="1">
                  <c:v>38.1</c:v>
                </c:pt>
                <c:pt idx="2">
                  <c:v>25.4</c:v>
                </c:pt>
                <c:pt idx="3">
                  <c:v>19</c:v>
                </c:pt>
                <c:pt idx="4">
                  <c:v>12.7</c:v>
                </c:pt>
                <c:pt idx="5">
                  <c:v>9.51</c:v>
                </c:pt>
                <c:pt idx="6">
                  <c:v>4.76</c:v>
                </c:pt>
                <c:pt idx="7">
                  <c:v>2.38</c:v>
                </c:pt>
                <c:pt idx="8">
                  <c:v>2</c:v>
                </c:pt>
                <c:pt idx="9">
                  <c:v>0.25</c:v>
                </c:pt>
                <c:pt idx="10">
                  <c:v>0.17699999999999999</c:v>
                </c:pt>
                <c:pt idx="11">
                  <c:v>0.14899999999999999</c:v>
                </c:pt>
                <c:pt idx="12">
                  <c:v>7.3999999999999996E-2</c:v>
                </c:pt>
                <c:pt idx="13" formatCode="0.0000">
                  <c:v>3.5332148958137265E-2</c:v>
                </c:pt>
                <c:pt idx="14" formatCode="0.0000">
                  <c:v>2.2594770412641949E-2</c:v>
                </c:pt>
                <c:pt idx="15" formatCode="0.0000">
                  <c:v>1.3139971461156223E-2</c:v>
                </c:pt>
                <c:pt idx="16" formatCode="0.0000">
                  <c:v>9.2913629247812733E-3</c:v>
                </c:pt>
                <c:pt idx="17" formatCode="0.0000">
                  <c:v>6.6871069977980768E-3</c:v>
                </c:pt>
                <c:pt idx="18" formatCode="0.0000">
                  <c:v>3.2687262840439854E-3</c:v>
                </c:pt>
                <c:pt idx="19" formatCode="0.0000">
                  <c:v>1.3757967388632185E-3</c:v>
                </c:pt>
              </c:numCache>
            </c:numRef>
          </c:xVal>
          <c:yVal>
            <c:numRef>
              <c:f>'Material Gradations'!$L$4:$L$23</c:f>
              <c:numCache>
                <c:formatCode>0.0%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0.97863247863247871</c:v>
                </c:pt>
                <c:pt idx="10">
                  <c:v>0.92307692307692302</c:v>
                </c:pt>
                <c:pt idx="11">
                  <c:v>0.86752136752136733</c:v>
                </c:pt>
                <c:pt idx="12">
                  <c:v>0.67094017094017089</c:v>
                </c:pt>
                <c:pt idx="13">
                  <c:v>0.50655027150753174</c:v>
                </c:pt>
                <c:pt idx="14">
                  <c:v>0.46050024682503354</c:v>
                </c:pt>
                <c:pt idx="15">
                  <c:v>0.41445022214252503</c:v>
                </c:pt>
                <c:pt idx="16">
                  <c:v>0.41445022214252503</c:v>
                </c:pt>
                <c:pt idx="17">
                  <c:v>0.34537518511877763</c:v>
                </c:pt>
                <c:pt idx="18">
                  <c:v>0.27630014809502013</c:v>
                </c:pt>
                <c:pt idx="19">
                  <c:v>0.25327513575377103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466624"/>
        <c:axId val="167467200"/>
      </c:scatterChart>
      <c:valAx>
        <c:axId val="167466624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7467200"/>
        <c:crosses val="autoZero"/>
        <c:crossBetween val="midCat"/>
      </c:valAx>
      <c:valAx>
        <c:axId val="167467200"/>
        <c:scaling>
          <c:orientation val="minMax"/>
          <c:max val="1"/>
          <c:min val="0"/>
        </c:scaling>
        <c:delete val="0"/>
        <c:axPos val="l"/>
        <c:majorGridlines/>
        <c:numFmt formatCode="0.0%" sourceLinked="1"/>
        <c:majorTickMark val="out"/>
        <c:minorTickMark val="none"/>
        <c:tickLblPos val="low"/>
        <c:crossAx val="1674666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'Material Gradations'!$A$1:$F$1</c:f>
              <c:strCache>
                <c:ptCount val="1"/>
                <c:pt idx="0">
                  <c:v>Rock Trap Material</c:v>
                </c:pt>
              </c:strCache>
            </c:strRef>
          </c:tx>
          <c:xVal>
            <c:numRef>
              <c:f>'Material Gradations'!$D$4:$D$23</c:f>
              <c:numCache>
                <c:formatCode>General</c:formatCode>
                <c:ptCount val="20"/>
                <c:pt idx="0">
                  <c:v>50.8</c:v>
                </c:pt>
                <c:pt idx="1">
                  <c:v>38.1</c:v>
                </c:pt>
                <c:pt idx="2">
                  <c:v>25.4</c:v>
                </c:pt>
                <c:pt idx="3">
                  <c:v>19</c:v>
                </c:pt>
                <c:pt idx="4">
                  <c:v>12.7</c:v>
                </c:pt>
                <c:pt idx="5">
                  <c:v>9.51</c:v>
                </c:pt>
                <c:pt idx="6">
                  <c:v>4.76</c:v>
                </c:pt>
                <c:pt idx="7">
                  <c:v>2.38</c:v>
                </c:pt>
                <c:pt idx="8">
                  <c:v>2</c:v>
                </c:pt>
                <c:pt idx="9">
                  <c:v>0.25</c:v>
                </c:pt>
                <c:pt idx="10">
                  <c:v>0.17699999999999999</c:v>
                </c:pt>
                <c:pt idx="11">
                  <c:v>0.14899999999999999</c:v>
                </c:pt>
                <c:pt idx="12">
                  <c:v>7.3999999999999996E-2</c:v>
                </c:pt>
                <c:pt idx="13" formatCode="0.0000">
                  <c:v>3.4499320573019986E-2</c:v>
                </c:pt>
                <c:pt idx="14" formatCode="0.0000">
                  <c:v>2.2067711072968128E-2</c:v>
                </c:pt>
                <c:pt idx="15" formatCode="0.0000">
                  <c:v>1.2976323464936695E-2</c:v>
                </c:pt>
                <c:pt idx="16" formatCode="0.0000">
                  <c:v>9.2741355032872654E-3</c:v>
                </c:pt>
                <c:pt idx="17" formatCode="0.0000">
                  <c:v>6.479966666580933E-3</c:v>
                </c:pt>
                <c:pt idx="18" formatCode="0.0000">
                  <c:v>3.2299283459544426E-3</c:v>
                </c:pt>
                <c:pt idx="19" formatCode="0.0000">
                  <c:v>1.3619692850183273E-3</c:v>
                </c:pt>
              </c:numCache>
            </c:numRef>
          </c:xVal>
          <c:yVal>
            <c:numRef>
              <c:f>'Material Gradations'!$E$4:$E$23</c:f>
              <c:numCache>
                <c:formatCode>0.0%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0.99489795918367241</c:v>
                </c:pt>
                <c:pt idx="10">
                  <c:v>0.98469387755102022</c:v>
                </c:pt>
                <c:pt idx="11">
                  <c:v>0.96938775510204034</c:v>
                </c:pt>
                <c:pt idx="12">
                  <c:v>0.87244897959183676</c:v>
                </c:pt>
                <c:pt idx="13">
                  <c:v>0.85788118586952478</c:v>
                </c:pt>
                <c:pt idx="14">
                  <c:v>0.78639108704705651</c:v>
                </c:pt>
                <c:pt idx="15">
                  <c:v>0.64341088940213564</c:v>
                </c:pt>
                <c:pt idx="16">
                  <c:v>0.6076658399909094</c:v>
                </c:pt>
                <c:pt idx="17">
                  <c:v>0.57192079057968315</c:v>
                </c:pt>
                <c:pt idx="18">
                  <c:v>0.46468564234598864</c:v>
                </c:pt>
                <c:pt idx="19">
                  <c:v>0.43608960281700759</c:v>
                </c:pt>
              </c:numCache>
            </c:numRef>
          </c:yVal>
          <c:smooth val="1"/>
        </c:ser>
        <c:ser>
          <c:idx val="1"/>
          <c:order val="1"/>
          <c:tx>
            <c:v>Extrapolated Data</c:v>
          </c:tx>
          <c:marker>
            <c:symbol val="none"/>
          </c:marker>
          <c:xVal>
            <c:numRef>
              <c:f>'Material Gradations'!$C$24:$C$31</c:f>
              <c:numCache>
                <c:formatCode>0.0000</c:formatCode>
                <c:ptCount val="8"/>
                <c:pt idx="0">
                  <c:v>1.3619692850183273E-3</c:v>
                </c:pt>
                <c:pt idx="1">
                  <c:v>5.7430386517914953E-4</c:v>
                </c:pt>
                <c:pt idx="2">
                  <c:v>2.4216767087759434E-4</c:v>
                </c:pt>
                <c:pt idx="3">
                  <c:v>1.0211524660379041E-4</c:v>
                </c:pt>
                <c:pt idx="4">
                  <c:v>4.3059106738585299E-5</c:v>
                </c:pt>
                <c:pt idx="5">
                  <c:v>1.8156805519148207E-5</c:v>
                </c:pt>
                <c:pt idx="6">
                  <c:v>7.6562105354766587E-6</c:v>
                </c:pt>
                <c:pt idx="7">
                  <c:v>3.2284070951647071E-6</c:v>
                </c:pt>
              </c:numCache>
            </c:numRef>
          </c:xVal>
          <c:yVal>
            <c:numRef>
              <c:f>'Material Gradations'!$E$24:$E$31</c:f>
              <c:numCache>
                <c:formatCode>0.0%</c:formatCode>
                <c:ptCount val="8"/>
                <c:pt idx="0">
                  <c:v>0.43608960281700759</c:v>
                </c:pt>
                <c:pt idx="1">
                  <c:v>0.3860896028170076</c:v>
                </c:pt>
                <c:pt idx="2">
                  <c:v>0.33608960281700762</c:v>
                </c:pt>
                <c:pt idx="3">
                  <c:v>0.28608960281700763</c:v>
                </c:pt>
                <c:pt idx="4">
                  <c:v>0.23608960281700764</c:v>
                </c:pt>
                <c:pt idx="5">
                  <c:v>0.18608960281700765</c:v>
                </c:pt>
                <c:pt idx="6">
                  <c:v>0.13608960281700766</c:v>
                </c:pt>
                <c:pt idx="7">
                  <c:v>8.6089602817007657E-2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304256"/>
        <c:axId val="641305984"/>
      </c:scatterChart>
      <c:valAx>
        <c:axId val="641304256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41305984"/>
        <c:crosses val="autoZero"/>
        <c:crossBetween val="midCat"/>
      </c:valAx>
      <c:valAx>
        <c:axId val="641305984"/>
        <c:scaling>
          <c:orientation val="minMax"/>
          <c:max val="1"/>
          <c:min val="0"/>
        </c:scaling>
        <c:delete val="0"/>
        <c:axPos val="l"/>
        <c:majorGridlines/>
        <c:numFmt formatCode="0.0%" sourceLinked="1"/>
        <c:majorTickMark val="out"/>
        <c:minorTickMark val="none"/>
        <c:tickLblPos val="low"/>
        <c:crossAx val="6413042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chart" Target="../charts/chart4.xml"/><Relationship Id="rId3" Type="http://schemas.openxmlformats.org/officeDocument/2006/relationships/image" Target="../media/image3.png"/><Relationship Id="rId7" Type="http://schemas.openxmlformats.org/officeDocument/2006/relationships/chart" Target="../charts/chart2.xml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11" Type="http://schemas.openxmlformats.org/officeDocument/2006/relationships/chart" Target="../charts/chart3.xml"/><Relationship Id="rId5" Type="http://schemas.openxmlformats.org/officeDocument/2006/relationships/image" Target="../media/image5.png"/><Relationship Id="rId10" Type="http://schemas.openxmlformats.org/officeDocument/2006/relationships/image" Target="../media/image8.png"/><Relationship Id="rId4" Type="http://schemas.openxmlformats.org/officeDocument/2006/relationships/image" Target="../media/image4.png"/><Relationship Id="rId9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19</xdr:row>
      <xdr:rowOff>19051</xdr:rowOff>
    </xdr:from>
    <xdr:to>
      <xdr:col>16</xdr:col>
      <xdr:colOff>85725</xdr:colOff>
      <xdr:row>21</xdr:row>
      <xdr:rowOff>138822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6350" y="400051"/>
          <a:ext cx="1171575" cy="548396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114301</xdr:colOff>
      <xdr:row>24</xdr:row>
      <xdr:rowOff>212481</xdr:rowOff>
    </xdr:from>
    <xdr:to>
      <xdr:col>17</xdr:col>
      <xdr:colOff>131883</xdr:colOff>
      <xdr:row>34</xdr:row>
      <xdr:rowOff>57893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3070" y="5026269"/>
          <a:ext cx="2274275" cy="1940912"/>
        </a:xfrm>
        <a:prstGeom prst="rect">
          <a:avLst/>
        </a:prstGeom>
      </xdr:spPr>
    </xdr:pic>
    <xdr:clientData/>
  </xdr:twoCellAnchor>
  <xdr:twoCellAnchor editAs="oneCell">
    <xdr:from>
      <xdr:col>13</xdr:col>
      <xdr:colOff>148737</xdr:colOff>
      <xdr:row>34</xdr:row>
      <xdr:rowOff>52754</xdr:rowOff>
    </xdr:from>
    <xdr:to>
      <xdr:col>16</xdr:col>
      <xdr:colOff>313157</xdr:colOff>
      <xdr:row>36</xdr:row>
      <xdr:rowOff>117231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37506" y="6962042"/>
          <a:ext cx="1812978" cy="44547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28</xdr:row>
      <xdr:rowOff>69451</xdr:rowOff>
    </xdr:from>
    <xdr:to>
      <xdr:col>5</xdr:col>
      <xdr:colOff>564174</xdr:colOff>
      <xdr:row>30</xdr:row>
      <xdr:rowOff>130919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76222" y="5791778"/>
          <a:ext cx="1307856" cy="486429"/>
        </a:xfrm>
        <a:prstGeom prst="rect">
          <a:avLst/>
        </a:prstGeom>
      </xdr:spPr>
    </xdr:pic>
    <xdr:clientData/>
  </xdr:twoCellAnchor>
  <xdr:twoCellAnchor editAs="oneCell">
    <xdr:from>
      <xdr:col>14</xdr:col>
      <xdr:colOff>209550</xdr:colOff>
      <xdr:row>22</xdr:row>
      <xdr:rowOff>169148</xdr:rowOff>
    </xdr:from>
    <xdr:to>
      <xdr:col>16</xdr:col>
      <xdr:colOff>261574</xdr:colOff>
      <xdr:row>24</xdr:row>
      <xdr:rowOff>123824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72550" y="1216898"/>
          <a:ext cx="1271224" cy="421401"/>
        </a:xfrm>
        <a:prstGeom prst="rect">
          <a:avLst/>
        </a:prstGeom>
      </xdr:spPr>
    </xdr:pic>
    <xdr:clientData/>
  </xdr:twoCellAnchor>
  <xdr:twoCellAnchor>
    <xdr:from>
      <xdr:col>7</xdr:col>
      <xdr:colOff>91587</xdr:colOff>
      <xdr:row>1</xdr:row>
      <xdr:rowOff>62279</xdr:rowOff>
    </xdr:from>
    <xdr:to>
      <xdr:col>12</xdr:col>
      <xdr:colOff>673345</xdr:colOff>
      <xdr:row>15</xdr:row>
      <xdr:rowOff>138479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218342</xdr:colOff>
      <xdr:row>16</xdr:row>
      <xdr:rowOff>167054</xdr:rowOff>
    </xdr:from>
    <xdr:to>
      <xdr:col>35</xdr:col>
      <xdr:colOff>351692</xdr:colOff>
      <xdr:row>29</xdr:row>
      <xdr:rowOff>111368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25</xdr:col>
      <xdr:colOff>95250</xdr:colOff>
      <xdr:row>11</xdr:row>
      <xdr:rowOff>85725</xdr:rowOff>
    </xdr:from>
    <xdr:to>
      <xdr:col>28</xdr:col>
      <xdr:colOff>402676</xdr:colOff>
      <xdr:row>14</xdr:row>
      <xdr:rowOff>180892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944850" y="2200275"/>
          <a:ext cx="2438095" cy="666667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62</xdr:row>
      <xdr:rowOff>38100</xdr:rowOff>
    </xdr:from>
    <xdr:to>
      <xdr:col>11</xdr:col>
      <xdr:colOff>81257</xdr:colOff>
      <xdr:row>64</xdr:row>
      <xdr:rowOff>161925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33975" y="9296400"/>
          <a:ext cx="2344543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62</xdr:row>
      <xdr:rowOff>38100</xdr:rowOff>
    </xdr:from>
    <xdr:to>
      <xdr:col>7</xdr:col>
      <xdr:colOff>461597</xdr:colOff>
      <xdr:row>62</xdr:row>
      <xdr:rowOff>222278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76700" y="9296400"/>
          <a:ext cx="904875" cy="184178"/>
        </a:xfrm>
        <a:prstGeom prst="rect">
          <a:avLst/>
        </a:prstGeom>
      </xdr:spPr>
    </xdr:pic>
    <xdr:clientData/>
  </xdr:twoCellAnchor>
  <xdr:twoCellAnchor>
    <xdr:from>
      <xdr:col>7</xdr:col>
      <xdr:colOff>383931</xdr:colOff>
      <xdr:row>65</xdr:row>
      <xdr:rowOff>117230</xdr:rowOff>
    </xdr:from>
    <xdr:to>
      <xdr:col>14</xdr:col>
      <xdr:colOff>40299</xdr:colOff>
      <xdr:row>79</xdr:row>
      <xdr:rowOff>130418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128138</xdr:colOff>
      <xdr:row>73</xdr:row>
      <xdr:rowOff>29307</xdr:rowOff>
    </xdr:from>
    <xdr:to>
      <xdr:col>4</xdr:col>
      <xdr:colOff>362614</xdr:colOff>
      <xdr:row>80</xdr:row>
      <xdr:rowOff>38355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8138" y="15196038"/>
          <a:ext cx="4315572" cy="1342548"/>
        </a:xfrm>
        <a:prstGeom prst="rect">
          <a:avLst/>
        </a:prstGeom>
      </xdr:spPr>
    </xdr:pic>
    <xdr:clientData/>
  </xdr:twoCellAnchor>
  <xdr:twoCellAnchor>
    <xdr:from>
      <xdr:col>7</xdr:col>
      <xdr:colOff>388329</xdr:colOff>
      <xdr:row>41</xdr:row>
      <xdr:rowOff>240327</xdr:rowOff>
    </xdr:from>
    <xdr:to>
      <xdr:col>14</xdr:col>
      <xdr:colOff>227136</xdr:colOff>
      <xdr:row>54</xdr:row>
      <xdr:rowOff>126027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409575</xdr:colOff>
      <xdr:row>0</xdr:row>
      <xdr:rowOff>0</xdr:rowOff>
    </xdr:from>
    <xdr:to>
      <xdr:col>21</xdr:col>
      <xdr:colOff>104775</xdr:colOff>
      <xdr:row>13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419100</xdr:colOff>
      <xdr:row>13</xdr:row>
      <xdr:rowOff>142875</xdr:rowOff>
    </xdr:from>
    <xdr:to>
      <xdr:col>21</xdr:col>
      <xdr:colOff>114300</xdr:colOff>
      <xdr:row>28</xdr:row>
      <xdr:rowOff>95250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artmouth.edu/~cushman/courses/engs37/Settling.pdf" TargetMode="External"/><Relationship Id="rId2" Type="http://schemas.openxmlformats.org/officeDocument/2006/relationships/hyperlink" Target="https://nptel.ac.in/courses/103107084/module3/lecture7/lecture7.pdf" TargetMode="External"/><Relationship Id="rId1" Type="http://schemas.openxmlformats.org/officeDocument/2006/relationships/hyperlink" Target="https://www.uidaho.edu/-/media/UIdaho-Responsive/Files/Extension/county/twin-falls/WRAC-1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E102"/>
  <sheetViews>
    <sheetView tabSelected="1" topLeftCell="A79" zoomScale="130" zoomScaleNormal="130" zoomScaleSheetLayoutView="115" zoomScalePageLayoutView="25" workbookViewId="0">
      <selection activeCell="C100" sqref="C100"/>
    </sheetView>
  </sheetViews>
  <sheetFormatPr defaultRowHeight="15" x14ac:dyDescent="0.25"/>
  <cols>
    <col min="1" max="1" width="19" style="1" customWidth="1"/>
    <col min="2" max="2" width="17" style="1" customWidth="1"/>
    <col min="3" max="3" width="12.28515625" style="1" bestFit="1" customWidth="1"/>
    <col min="4" max="4" width="12.85546875" style="3" bestFit="1" customWidth="1"/>
    <col min="5" max="5" width="11.85546875" style="3" customWidth="1"/>
    <col min="6" max="6" width="14.42578125" customWidth="1"/>
    <col min="7" max="7" width="9.28515625" bestFit="1" customWidth="1"/>
    <col min="9" max="9" width="12.7109375" style="1" bestFit="1" customWidth="1"/>
    <col min="10" max="10" width="9.42578125" style="1" bestFit="1" customWidth="1"/>
    <col min="11" max="11" width="12" style="1" customWidth="1"/>
    <col min="12" max="12" width="9.42578125" style="3" bestFit="1" customWidth="1"/>
    <col min="13" max="13" width="13" style="3" bestFit="1" customWidth="1"/>
    <col min="14" max="14" width="6.42578125" bestFit="1" customWidth="1"/>
    <col min="20" max="20" width="12" bestFit="1" customWidth="1"/>
    <col min="21" max="21" width="5.140625" bestFit="1" customWidth="1"/>
    <col min="22" max="22" width="8.7109375" bestFit="1" customWidth="1"/>
    <col min="23" max="23" width="9.42578125" bestFit="1" customWidth="1"/>
    <col min="24" max="24" width="11" bestFit="1" customWidth="1"/>
    <col min="25" max="25" width="17" bestFit="1" customWidth="1"/>
    <col min="26" max="26" width="13" bestFit="1" customWidth="1"/>
    <col min="27" max="27" width="9.5703125" bestFit="1" customWidth="1"/>
    <col min="28" max="28" width="9.28515625" bestFit="1" customWidth="1"/>
    <col min="29" max="29" width="9.42578125" bestFit="1" customWidth="1"/>
    <col min="30" max="30" width="13" bestFit="1" customWidth="1"/>
    <col min="31" max="31" width="9.28515625" bestFit="1" customWidth="1"/>
  </cols>
  <sheetData>
    <row r="1" spans="1:31" x14ac:dyDescent="0.25">
      <c r="A1" s="149" t="s">
        <v>52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spans="1:31" x14ac:dyDescent="0.25">
      <c r="A2" s="1" t="s">
        <v>53</v>
      </c>
      <c r="B2" s="1" t="s">
        <v>53</v>
      </c>
      <c r="C2" s="34">
        <v>0.65</v>
      </c>
      <c r="E2" s="24" t="s">
        <v>54</v>
      </c>
      <c r="Y2" s="154" t="s">
        <v>77</v>
      </c>
      <c r="Z2" s="154"/>
      <c r="AA2" s="154"/>
      <c r="AC2" s="154" t="s">
        <v>76</v>
      </c>
      <c r="AD2" s="154"/>
      <c r="AE2" s="154"/>
    </row>
    <row r="3" spans="1:31" x14ac:dyDescent="0.25">
      <c r="C3" s="164" t="s">
        <v>79</v>
      </c>
      <c r="D3" s="164"/>
      <c r="E3" s="24" t="s">
        <v>78</v>
      </c>
      <c r="Y3" s="5"/>
      <c r="Z3" s="5" t="s">
        <v>81</v>
      </c>
      <c r="AA3" s="5" t="s">
        <v>82</v>
      </c>
      <c r="AC3" s="5"/>
      <c r="AD3" s="5" t="s">
        <v>81</v>
      </c>
      <c r="AE3" s="5" t="s">
        <v>82</v>
      </c>
    </row>
    <row r="4" spans="1:31" ht="18" x14ac:dyDescent="0.35">
      <c r="A4" s="1" t="s">
        <v>88</v>
      </c>
      <c r="B4" s="23" t="s">
        <v>87</v>
      </c>
      <c r="C4" s="86">
        <f>IF(C3="Pit",AD11,Z11)</f>
        <v>6.8615978904770216E-3</v>
      </c>
      <c r="D4" s="3" t="s">
        <v>0</v>
      </c>
      <c r="E4" s="24" t="s">
        <v>89</v>
      </c>
      <c r="Y4" s="5">
        <v>1</v>
      </c>
      <c r="Z4" s="5">
        <f>'Material Gradations'!K23</f>
        <v>1.3757967388632185E-3</v>
      </c>
      <c r="AA4" s="75">
        <f>AE4</f>
        <v>0.35</v>
      </c>
      <c r="AC4" s="5">
        <v>1</v>
      </c>
      <c r="AD4" s="5">
        <f>'Material Gradations'!C31</f>
        <v>3.2284070951647071E-6</v>
      </c>
      <c r="AE4" s="75">
        <f>1-C2</f>
        <v>0.35</v>
      </c>
    </row>
    <row r="5" spans="1:31" ht="15.75" thickBot="1" x14ac:dyDescent="0.3">
      <c r="Y5" s="77">
        <v>2</v>
      </c>
      <c r="Z5" s="77">
        <f>'Material Gradations'!K4</f>
        <v>50.8</v>
      </c>
      <c r="AA5" s="75">
        <f>AA4</f>
        <v>0.35</v>
      </c>
      <c r="AC5" s="77">
        <v>2</v>
      </c>
      <c r="AD5" s="77">
        <f>'Material Gradations'!D4</f>
        <v>50.8</v>
      </c>
      <c r="AE5" s="75">
        <f>AE4</f>
        <v>0.35</v>
      </c>
    </row>
    <row r="6" spans="1:31" x14ac:dyDescent="0.25">
      <c r="Y6" s="78" t="s">
        <v>81</v>
      </c>
      <c r="Z6" s="79">
        <f>C2</f>
        <v>0.65</v>
      </c>
      <c r="AC6" s="78" t="s">
        <v>81</v>
      </c>
      <c r="AD6" s="79">
        <f>C2</f>
        <v>0.65</v>
      </c>
    </row>
    <row r="7" spans="1:31" x14ac:dyDescent="0.25">
      <c r="Y7" s="80" t="s">
        <v>83</v>
      </c>
      <c r="Z7" s="81">
        <f>VLOOKUP(x,'Material Gradations'!$F$4:$F$31,1,TRUE)</f>
        <v>0.61391039718299245</v>
      </c>
      <c r="AC7" s="80" t="s">
        <v>83</v>
      </c>
      <c r="AD7" s="81">
        <f>VLOOKUP(x,'Material Gradations'!M4:M23,1,TRUE)</f>
        <v>0.58560000000000001</v>
      </c>
    </row>
    <row r="8" spans="1:31" x14ac:dyDescent="0.25">
      <c r="Y8" s="80" t="s">
        <v>84</v>
      </c>
      <c r="Z8" s="81">
        <f>INDEX('Material Gradations'!$F$4:$F$31,MATCH(Vs!Z7,'Material Gradations'!$F$4:$F$31,0)+1,1)</f>
        <v>0.66391039718299238</v>
      </c>
      <c r="AC8" s="80" t="s">
        <v>84</v>
      </c>
      <c r="AD8" s="81">
        <f>INDEX('Material Gradations'!M4:M23,MATCH(Vs!AD7,'Material Gradations'!M4:M23,0)+1,1)</f>
        <v>0.65462481488122237</v>
      </c>
    </row>
    <row r="9" spans="1:31" x14ac:dyDescent="0.25">
      <c r="Y9" s="80" t="s">
        <v>85</v>
      </c>
      <c r="Z9" s="82">
        <f>INDEX('Material Gradations'!$D$4:$D$31,MATCH(Vs!Z7,'Material Gradations'!$F$4:$F$31,0),1)</f>
        <v>5.7430386517914953E-4</v>
      </c>
      <c r="AA9" t="s">
        <v>0</v>
      </c>
      <c r="AC9" s="80" t="s">
        <v>85</v>
      </c>
      <c r="AD9" s="82">
        <f>INDEX('Material Gradations'!K4:K23,MATCH(Vs!AD7,'Material Gradations'!M4:M23,0),1)</f>
        <v>9.2913629247812733E-3</v>
      </c>
      <c r="AE9" t="s">
        <v>0</v>
      </c>
    </row>
    <row r="10" spans="1:31" x14ac:dyDescent="0.25">
      <c r="Y10" s="80" t="s">
        <v>86</v>
      </c>
      <c r="Z10" s="82">
        <f>INDEX('Material Gradations'!$D$4:$D$31,MATCH(Vs!Z8,'Material Gradations'!$F$4:$F$31,0),1)</f>
        <v>2.4216767087759434E-4</v>
      </c>
      <c r="AA10" t="s">
        <v>0</v>
      </c>
      <c r="AC10" s="80" t="s">
        <v>86</v>
      </c>
      <c r="AD10" s="82">
        <f>INDEX('Material Gradations'!K5:K24,MATCH(Vs!AD8,'Material Gradations'!M5:M24,0),1)</f>
        <v>6.6871069977980768E-3</v>
      </c>
      <c r="AE10" t="s">
        <v>0</v>
      </c>
    </row>
    <row r="11" spans="1:31" ht="15.75" thickBot="1" x14ac:dyDescent="0.3">
      <c r="Y11" s="83" t="s">
        <v>82</v>
      </c>
      <c r="Z11" s="84">
        <f>y0+(x-x0)*(yone-y0)/(xone-x0)</f>
        <v>3.3457059850923758E-4</v>
      </c>
      <c r="AA11" t="s">
        <v>0</v>
      </c>
      <c r="AC11" s="83" t="s">
        <v>82</v>
      </c>
      <c r="AD11" s="84">
        <f>y0+(x-x0)*(yone-y0)/(xone-x0)</f>
        <v>6.8615978904770216E-3</v>
      </c>
      <c r="AE11" t="s">
        <v>0</v>
      </c>
    </row>
    <row r="18" spans="1:16" x14ac:dyDescent="0.25">
      <c r="A18" s="157" t="s">
        <v>20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</row>
    <row r="19" spans="1:16" x14ac:dyDescent="0.25">
      <c r="A19" s="159" t="s">
        <v>21</v>
      </c>
      <c r="B19" s="159"/>
      <c r="C19" s="159"/>
      <c r="D19" s="159"/>
      <c r="E19" s="159"/>
      <c r="F19" s="159"/>
      <c r="I19" s="159" t="s">
        <v>22</v>
      </c>
      <c r="J19" s="159"/>
      <c r="K19" s="159"/>
      <c r="L19" s="159"/>
      <c r="M19" s="159"/>
      <c r="N19" s="159"/>
      <c r="O19" s="159"/>
      <c r="P19" s="159"/>
    </row>
    <row r="20" spans="1:16" x14ac:dyDescent="0.25">
      <c r="A20" s="1" t="s">
        <v>5</v>
      </c>
      <c r="B20" s="10" t="s">
        <v>5</v>
      </c>
      <c r="C20" s="12">
        <v>2.65</v>
      </c>
      <c r="E20" s="24" t="s">
        <v>3</v>
      </c>
      <c r="I20" s="1" t="s">
        <v>25</v>
      </c>
      <c r="J20" s="6" t="s">
        <v>27</v>
      </c>
      <c r="K20" s="14">
        <v>1</v>
      </c>
      <c r="M20" s="24" t="s">
        <v>26</v>
      </c>
    </row>
    <row r="21" spans="1:16" ht="18.75" x14ac:dyDescent="0.35">
      <c r="A21" s="1" t="s">
        <v>47</v>
      </c>
      <c r="B21" s="11" t="s">
        <v>44</v>
      </c>
      <c r="C21" s="8">
        <f>S*1.94</f>
        <v>5.141</v>
      </c>
      <c r="D21" s="3" t="s">
        <v>19</v>
      </c>
      <c r="E21" s="24" t="s">
        <v>2</v>
      </c>
      <c r="I21" s="1" t="s">
        <v>23</v>
      </c>
      <c r="J21" s="1" t="s">
        <v>23</v>
      </c>
      <c r="K21" s="9">
        <f>phi*rhop*C28*Dp/(muf)</f>
        <v>1.291376712897696E-4</v>
      </c>
      <c r="M21" s="24" t="s">
        <v>32</v>
      </c>
    </row>
    <row r="22" spans="1:16" ht="18.75" x14ac:dyDescent="0.35">
      <c r="A22" s="1" t="s">
        <v>46</v>
      </c>
      <c r="B22" s="11" t="s">
        <v>45</v>
      </c>
      <c r="C22" s="5">
        <v>1.94</v>
      </c>
      <c r="D22" s="3" t="s">
        <v>19</v>
      </c>
      <c r="E22" s="24" t="s">
        <v>4</v>
      </c>
      <c r="I22" s="1" t="s">
        <v>24</v>
      </c>
      <c r="J22" s="1" t="s">
        <v>24</v>
      </c>
      <c r="K22" s="7" t="str">
        <f>IF(Re&lt;0.1,"Laminar",IF(Re&gt;1000,"Turbulant","Transition"))</f>
        <v>Laminar</v>
      </c>
      <c r="M22" s="24" t="s">
        <v>31</v>
      </c>
    </row>
    <row r="23" spans="1:16" ht="18.75" x14ac:dyDescent="0.35">
      <c r="A23" s="1" t="s">
        <v>6</v>
      </c>
      <c r="B23" s="10" t="s">
        <v>6</v>
      </c>
      <c r="C23" s="5">
        <v>32.200000000000003</v>
      </c>
      <c r="D23" s="3" t="s">
        <v>8</v>
      </c>
      <c r="E23" s="24" t="s">
        <v>7</v>
      </c>
      <c r="I23" s="1" t="s">
        <v>28</v>
      </c>
      <c r="J23" s="1" t="s">
        <v>29</v>
      </c>
      <c r="K23" s="88">
        <f>IF(Zone="Laminar",24/Re,IF(Zone="Transition",18.5/Re^0.6,0.4))</f>
        <v>185848.17087298137</v>
      </c>
      <c r="M23" s="24" t="s">
        <v>30</v>
      </c>
    </row>
    <row r="24" spans="1:16" ht="18" x14ac:dyDescent="0.35">
      <c r="B24" s="10"/>
      <c r="C24" s="2">
        <v>7.0000000000000001E-3</v>
      </c>
      <c r="D24" s="3" t="s">
        <v>0</v>
      </c>
      <c r="E24" s="24" t="s">
        <v>1</v>
      </c>
      <c r="I24" s="1" t="s">
        <v>34</v>
      </c>
      <c r="J24" s="1" t="s">
        <v>35</v>
      </c>
      <c r="K24" s="88">
        <f>24/Re+3/SQRT(Re)+0.34</f>
        <v>186112.50531246327</v>
      </c>
      <c r="M24" s="24" t="s">
        <v>33</v>
      </c>
    </row>
    <row r="25" spans="1:16" ht="18" x14ac:dyDescent="0.35">
      <c r="A25" s="1" t="s">
        <v>51</v>
      </c>
      <c r="B25" s="10" t="s">
        <v>48</v>
      </c>
      <c r="C25" s="9">
        <f>C24/25.4/12</f>
        <v>2.2965879265091865E-5</v>
      </c>
      <c r="D25" s="3" t="s">
        <v>17</v>
      </c>
      <c r="E25" s="24" t="s">
        <v>1</v>
      </c>
      <c r="J25" s="1" t="s">
        <v>41</v>
      </c>
      <c r="K25" s="2" t="s">
        <v>28</v>
      </c>
    </row>
    <row r="26" spans="1:16" x14ac:dyDescent="0.25">
      <c r="A26" s="1" t="s">
        <v>11</v>
      </c>
      <c r="B26" s="10" t="s">
        <v>11</v>
      </c>
      <c r="C26" s="4">
        <v>40</v>
      </c>
      <c r="D26" s="3" t="s">
        <v>10</v>
      </c>
      <c r="E26" s="24" t="s">
        <v>9</v>
      </c>
    </row>
    <row r="27" spans="1:16" ht="19.5" thickBot="1" x14ac:dyDescent="0.4">
      <c r="A27" s="1" t="s">
        <v>50</v>
      </c>
      <c r="B27" s="11" t="s">
        <v>49</v>
      </c>
      <c r="C27" s="9">
        <f>VLOOKUP(VLOOKUP(T,'Viscosity Table'!A2:A15,1,TRUE),'Viscosity Table'!$A$2:$C$15,3,FALSE)+(T-VLOOKUP(T,'Viscosity Table'!A2:A15,1,TRUE))*(VLOOKUP(INDEX('Viscosity Table'!$A$2:$A$15,MATCH(VLOOKUP(T,'Viscosity Table'!A2:A15,1,TRUE),'Viscosity Table'!A2:A15,0)+1,1),'Viscosity Table'!$A$2:$C$15,3,FALSE)-VLOOKUP(VLOOKUP(T,'Viscosity Table'!A2:A15,1,TRUE),'Viscosity Table'!$A$2:$C$15,3,FALSE))/(INDEX('Viscosity Table'!$A$2:$A$15,MATCH(VLOOKUP(T,'Viscosity Table'!A2:A15,1,TRUE),'Viscosity Table'!A2:A15,0)+1,1)-VLOOKUP(T,'Viscosity Table'!A2:A15,1,TRUE))</f>
        <v>3.2280000000000003E-5</v>
      </c>
      <c r="D27" s="3" t="s">
        <v>14</v>
      </c>
      <c r="E27" s="24" t="s">
        <v>15</v>
      </c>
    </row>
    <row r="28" spans="1:16" ht="18.75" thickBot="1" x14ac:dyDescent="0.4">
      <c r="A28" s="1" t="s">
        <v>37</v>
      </c>
      <c r="B28" s="10" t="s">
        <v>91</v>
      </c>
      <c r="C28" s="9">
        <f>g*(rhof-rhop)*Dp^2/(18*muf)</f>
        <v>9.3562468049370471E-5</v>
      </c>
      <c r="D28" s="3" t="s">
        <v>16</v>
      </c>
      <c r="E28" s="24" t="s">
        <v>18</v>
      </c>
      <c r="I28" s="160" t="s">
        <v>36</v>
      </c>
      <c r="J28" s="161"/>
      <c r="K28" s="161"/>
      <c r="L28" s="161"/>
      <c r="M28" s="162"/>
      <c r="N28" s="15"/>
      <c r="O28" s="15"/>
      <c r="P28" s="15"/>
    </row>
    <row r="29" spans="1:16" ht="18" x14ac:dyDescent="0.35">
      <c r="B29" s="23"/>
      <c r="I29" s="16" t="s">
        <v>39</v>
      </c>
      <c r="J29" s="17" t="s">
        <v>23</v>
      </c>
      <c r="K29" s="17" t="s">
        <v>29</v>
      </c>
      <c r="L29" s="17" t="s">
        <v>40</v>
      </c>
      <c r="M29" s="18" t="s">
        <v>38</v>
      </c>
    </row>
    <row r="30" spans="1:16" ht="15.75" thickBot="1" x14ac:dyDescent="0.3">
      <c r="I30" s="19" t="s">
        <v>16</v>
      </c>
      <c r="J30" s="13"/>
      <c r="K30" s="13"/>
      <c r="L30" s="13" t="s">
        <v>16</v>
      </c>
      <c r="M30" s="20" t="s">
        <v>16</v>
      </c>
    </row>
    <row r="31" spans="1:16" x14ac:dyDescent="0.25">
      <c r="I31" s="25">
        <f>C28</f>
        <v>9.3562468049370471E-5</v>
      </c>
      <c r="J31" s="31">
        <f>Re</f>
        <v>1.291376712897696E-4</v>
      </c>
      <c r="K31" s="31">
        <f>IF(K25="CD",K23,K24)</f>
        <v>185848.17087298137</v>
      </c>
      <c r="L31" s="31">
        <f>SQRT(4/3*(rhof-rhop)/rhop*(g*Dp)/(phi*K31))</f>
        <v>9.3562468049370457E-5</v>
      </c>
      <c r="M31" s="28">
        <f>I31-L31</f>
        <v>0</v>
      </c>
    </row>
    <row r="32" spans="1:16" x14ac:dyDescent="0.25">
      <c r="I32" s="26">
        <f>L31</f>
        <v>9.3562468049370457E-5</v>
      </c>
      <c r="J32" s="32">
        <f t="shared" ref="J32:J37" si="0">phi*rhop*I32*Dp/(muf)</f>
        <v>1.2913767128976957E-4</v>
      </c>
      <c r="K32" s="32">
        <f>IF($K$25="CD",IF(J32&lt;0.1,24/J32,IF(J32&gt;1000,0.4,18.5/J32^0.6)),24/J32+3/SQRT(J32)+0.34)</f>
        <v>185848.1708729814</v>
      </c>
      <c r="L32" s="32">
        <f t="shared" ref="L32:L37" si="1">SQRT(4/3*(rhof-rhop)/rhop*(g*Dp)/(phi*K32))</f>
        <v>9.3562468049370443E-5</v>
      </c>
      <c r="M32" s="29">
        <f>I32-L32</f>
        <v>0</v>
      </c>
    </row>
    <row r="33" spans="1:57" x14ac:dyDescent="0.25">
      <c r="I33" s="26">
        <f t="shared" ref="I33:I36" si="2">L32</f>
        <v>9.3562468049370443E-5</v>
      </c>
      <c r="J33" s="32">
        <f t="shared" si="0"/>
        <v>1.2913767128976957E-4</v>
      </c>
      <c r="K33" s="32">
        <f t="shared" ref="K33:K37" si="3">IF($K$25="CD",IF(J33&lt;0.1,24/J33,IF(J33&gt;1000,0.4,18.5/J33^0.6)),24/J33+3/SQRT(J33)+0.34)</f>
        <v>185848.1708729814</v>
      </c>
      <c r="L33" s="32">
        <f t="shared" si="1"/>
        <v>9.3562468049370443E-5</v>
      </c>
      <c r="M33" s="29">
        <f t="shared" ref="M33:M36" si="4">I33-L33</f>
        <v>0</v>
      </c>
    </row>
    <row r="34" spans="1:57" x14ac:dyDescent="0.25">
      <c r="I34" s="26">
        <f t="shared" si="2"/>
        <v>9.3562468049370443E-5</v>
      </c>
      <c r="J34" s="32">
        <f t="shared" si="0"/>
        <v>1.2913767128976957E-4</v>
      </c>
      <c r="K34" s="32">
        <f t="shared" si="3"/>
        <v>185848.1708729814</v>
      </c>
      <c r="L34" s="32">
        <f t="shared" si="1"/>
        <v>9.3562468049370443E-5</v>
      </c>
      <c r="M34" s="29">
        <f t="shared" si="4"/>
        <v>0</v>
      </c>
    </row>
    <row r="35" spans="1:57" x14ac:dyDescent="0.25">
      <c r="I35" s="26">
        <f t="shared" si="2"/>
        <v>9.3562468049370443E-5</v>
      </c>
      <c r="J35" s="32">
        <f t="shared" si="0"/>
        <v>1.2913767128976957E-4</v>
      </c>
      <c r="K35" s="32">
        <f t="shared" si="3"/>
        <v>185848.1708729814</v>
      </c>
      <c r="L35" s="32">
        <f t="shared" si="1"/>
        <v>9.3562468049370443E-5</v>
      </c>
      <c r="M35" s="29">
        <f t="shared" si="4"/>
        <v>0</v>
      </c>
    </row>
    <row r="36" spans="1:57" x14ac:dyDescent="0.25">
      <c r="I36" s="26">
        <f t="shared" si="2"/>
        <v>9.3562468049370443E-5</v>
      </c>
      <c r="J36" s="32">
        <f t="shared" si="0"/>
        <v>1.2913767128976957E-4</v>
      </c>
      <c r="K36" s="32">
        <f t="shared" si="3"/>
        <v>185848.1708729814</v>
      </c>
      <c r="L36" s="32">
        <f t="shared" si="1"/>
        <v>9.3562468049370443E-5</v>
      </c>
      <c r="M36" s="29">
        <f t="shared" si="4"/>
        <v>0</v>
      </c>
    </row>
    <row r="37" spans="1:57" ht="15.75" thickBot="1" x14ac:dyDescent="0.3">
      <c r="I37" s="27">
        <f t="shared" ref="I37" si="5">L36</f>
        <v>9.3562468049370443E-5</v>
      </c>
      <c r="J37" s="33">
        <f t="shared" si="0"/>
        <v>1.2913767128976957E-4</v>
      </c>
      <c r="K37" s="33">
        <f t="shared" si="3"/>
        <v>185848.1708729814</v>
      </c>
      <c r="L37" s="127">
        <f t="shared" si="1"/>
        <v>9.3562468049370443E-5</v>
      </c>
      <c r="M37" s="30">
        <f t="shared" ref="M37" si="6">I37-L37</f>
        <v>0</v>
      </c>
    </row>
    <row r="38" spans="1:57" x14ac:dyDescent="0.25">
      <c r="L38" s="128"/>
    </row>
    <row r="39" spans="1:57" ht="15.75" thickBot="1" x14ac:dyDescent="0.3">
      <c r="B39" s="1" t="s">
        <v>136</v>
      </c>
      <c r="C39" s="98">
        <f t="array" ref="C39">MIN(IF('Material Gradations'!$M$4:$M$23&gt;0,'Material Gradations'!$M$4:$M$23))</f>
        <v>2.1367521367521247E-2</v>
      </c>
    </row>
    <row r="40" spans="1:57" ht="15.75" thickBot="1" x14ac:dyDescent="0.3">
      <c r="B40" s="1" t="s">
        <v>137</v>
      </c>
      <c r="C40" s="98">
        <f t="array" ref="C40">MAX(IF('Material Gradations'!$M$4:$M$23&gt;0,'Material Gradations'!$M$4:$M$23))</f>
        <v>0.74672486424622897</v>
      </c>
      <c r="I40" s="156" t="s">
        <v>42</v>
      </c>
      <c r="J40" s="156"/>
      <c r="K40" s="156"/>
      <c r="L40" s="91">
        <f>L37</f>
        <v>9.3562468049370443E-5</v>
      </c>
      <c r="M40" s="3" t="s">
        <v>16</v>
      </c>
    </row>
    <row r="41" spans="1:57" x14ac:dyDescent="0.25">
      <c r="I41" s="22"/>
      <c r="J41" s="22"/>
      <c r="K41" s="22"/>
      <c r="W41" s="151" t="s">
        <v>144</v>
      </c>
      <c r="X41" s="152"/>
      <c r="Y41" s="152"/>
      <c r="Z41" s="152"/>
      <c r="AA41" s="153"/>
      <c r="AB41" s="155" t="s">
        <v>145</v>
      </c>
      <c r="AC41" s="152"/>
      <c r="AD41" s="152"/>
      <c r="AE41" s="152"/>
      <c r="AF41" s="153"/>
      <c r="AG41" s="151" t="s">
        <v>147</v>
      </c>
      <c r="AH41" s="152"/>
      <c r="AI41" s="152"/>
      <c r="AJ41" s="152"/>
      <c r="AK41" s="153"/>
      <c r="AL41" s="151" t="s">
        <v>148</v>
      </c>
      <c r="AM41" s="152"/>
      <c r="AN41" s="152"/>
      <c r="AO41" s="152"/>
      <c r="AP41" s="153"/>
      <c r="AQ41" s="151" t="s">
        <v>149</v>
      </c>
      <c r="AR41" s="152"/>
      <c r="AS41" s="152"/>
      <c r="AT41" s="152"/>
      <c r="AU41" s="153"/>
      <c r="AV41" s="151" t="s">
        <v>150</v>
      </c>
      <c r="AW41" s="152"/>
      <c r="AX41" s="152"/>
      <c r="AY41" s="152"/>
      <c r="AZ41" s="153"/>
    </row>
    <row r="42" spans="1:57" ht="60" x14ac:dyDescent="0.35">
      <c r="B42" s="101" t="s">
        <v>135</v>
      </c>
      <c r="C42" s="102" t="s">
        <v>133</v>
      </c>
      <c r="D42" s="101" t="s">
        <v>134</v>
      </c>
      <c r="E42" s="103" t="s">
        <v>139</v>
      </c>
      <c r="F42" s="103" t="s">
        <v>138</v>
      </c>
      <c r="G42" s="104" t="s">
        <v>141</v>
      </c>
      <c r="W42" s="80" t="s">
        <v>143</v>
      </c>
      <c r="X42" s="74" t="s">
        <v>23</v>
      </c>
      <c r="Y42" s="74" t="s">
        <v>29</v>
      </c>
      <c r="Z42" s="74" t="s">
        <v>40</v>
      </c>
      <c r="AA42" s="120" t="s">
        <v>38</v>
      </c>
      <c r="AB42" s="80" t="s">
        <v>146</v>
      </c>
      <c r="AC42" s="74" t="s">
        <v>23</v>
      </c>
      <c r="AD42" s="74" t="s">
        <v>29</v>
      </c>
      <c r="AE42" s="74" t="s">
        <v>40</v>
      </c>
      <c r="AF42" s="120" t="s">
        <v>38</v>
      </c>
      <c r="AG42" s="80" t="s">
        <v>151</v>
      </c>
      <c r="AH42" s="74" t="s">
        <v>23</v>
      </c>
      <c r="AI42" s="74" t="s">
        <v>29</v>
      </c>
      <c r="AJ42" s="74" t="s">
        <v>40</v>
      </c>
      <c r="AK42" s="120" t="s">
        <v>38</v>
      </c>
      <c r="AL42" s="80" t="s">
        <v>152</v>
      </c>
      <c r="AM42" s="74" t="s">
        <v>23</v>
      </c>
      <c r="AN42" s="74" t="s">
        <v>29</v>
      </c>
      <c r="AO42" s="74" t="s">
        <v>40</v>
      </c>
      <c r="AP42" s="120" t="s">
        <v>38</v>
      </c>
      <c r="AQ42" s="80" t="s">
        <v>153</v>
      </c>
      <c r="AR42" s="74" t="s">
        <v>23</v>
      </c>
      <c r="AS42" s="74" t="s">
        <v>29</v>
      </c>
      <c r="AT42" s="74" t="s">
        <v>40</v>
      </c>
      <c r="AU42" s="120" t="s">
        <v>38</v>
      </c>
      <c r="AV42" s="80" t="s">
        <v>154</v>
      </c>
      <c r="AW42" s="74" t="s">
        <v>23</v>
      </c>
      <c r="AX42" s="74" t="s">
        <v>29</v>
      </c>
      <c r="AY42" s="74" t="s">
        <v>40</v>
      </c>
      <c r="AZ42" s="120" t="s">
        <v>38</v>
      </c>
      <c r="BA42" s="74" t="s">
        <v>83</v>
      </c>
      <c r="BB42" s="74" t="s">
        <v>84</v>
      </c>
      <c r="BC42" s="74" t="s">
        <v>85</v>
      </c>
      <c r="BD42" s="74" t="s">
        <v>86</v>
      </c>
      <c r="BE42" s="76"/>
    </row>
    <row r="43" spans="1:57" ht="15.75" thickBot="1" x14ac:dyDescent="0.3">
      <c r="B43" s="105">
        <v>0</v>
      </c>
      <c r="C43" s="106"/>
      <c r="D43" s="107"/>
      <c r="E43" s="106"/>
      <c r="F43" s="108">
        <v>1</v>
      </c>
      <c r="G43" s="109">
        <v>0</v>
      </c>
      <c r="V43" s="119" t="s">
        <v>155</v>
      </c>
      <c r="W43" s="121"/>
      <c r="X43" s="76"/>
      <c r="Y43" s="76"/>
      <c r="Z43" s="76"/>
      <c r="AA43" s="82"/>
      <c r="AB43" s="121"/>
      <c r="AC43" s="76"/>
      <c r="AD43" s="76"/>
      <c r="AE43" s="76"/>
      <c r="AF43" s="82"/>
      <c r="AG43" s="121"/>
      <c r="AH43" s="76"/>
      <c r="AI43" s="76"/>
      <c r="AJ43" s="76"/>
      <c r="AK43" s="82"/>
      <c r="AL43" s="121"/>
      <c r="AM43" s="76"/>
      <c r="AN43" s="76"/>
      <c r="AO43" s="76"/>
      <c r="AP43" s="82"/>
      <c r="AQ43" s="121"/>
      <c r="AR43" s="76"/>
      <c r="AS43" s="76"/>
      <c r="AT43" s="76"/>
      <c r="AU43" s="82"/>
      <c r="AV43" s="121"/>
      <c r="AW43" s="76"/>
      <c r="AX43" s="76"/>
      <c r="AY43" s="132"/>
      <c r="AZ43" s="82"/>
      <c r="BA43" s="74"/>
      <c r="BB43" s="74"/>
      <c r="BC43" s="74"/>
      <c r="BD43" s="74"/>
      <c r="BE43" s="118">
        <f>IFERROR(B43-B41,B43)</f>
        <v>0</v>
      </c>
    </row>
    <row r="44" spans="1:57" x14ac:dyDescent="0.25">
      <c r="A44" s="136"/>
      <c r="B44" s="110">
        <f>C39</f>
        <v>2.1367521367521247E-2</v>
      </c>
      <c r="C44" s="21">
        <f t="shared" ref="C44:C54" si="7">BC44+(B44-BA44)*(BD44-BC44)/(BB44-BA44)</f>
        <v>0.25</v>
      </c>
      <c r="D44" s="32">
        <f>AY44</f>
        <v>8.6646270438818673E-2</v>
      </c>
      <c r="E44" s="112">
        <f t="shared" ref="E44:E54" si="8">IF((D44/vx)*L&gt;D,D,(D44/vx)*L)</f>
        <v>2</v>
      </c>
      <c r="F44" s="113">
        <f t="shared" ref="F44:F54" si="9">E44/D</f>
        <v>1</v>
      </c>
      <c r="G44" s="75">
        <f>1-F44</f>
        <v>0</v>
      </c>
      <c r="V44" s="123">
        <f>CONVERT(C44,"mm","ft")</f>
        <v>8.2020997375328083E-4</v>
      </c>
      <c r="W44" s="26">
        <f t="shared" ref="W44:W54" si="10">g*(rhof-rhop)*$V44^2/(18*muf)</f>
        <v>0.11933988271603373</v>
      </c>
      <c r="X44" s="32">
        <f t="shared" ref="X44:X54" si="11">phi*rhop*W44*$V44/(muf)</f>
        <v>5.8827291950514553</v>
      </c>
      <c r="Y44" s="32">
        <f t="shared" ref="Y44:Y54" si="12">IF($K$25="CD",IF(X44&lt;0.1,24/X44,IF(X44&gt;1000,0.4,18.5/X44^0.6)),24/X44+3/SQRT(X44)+0.34)</f>
        <v>6.3888753431181193</v>
      </c>
      <c r="Z44" s="122">
        <f t="shared" ref="Z44:Z54" si="13">SQRT(4/3*(rhof-rhop)/rhop*(g*$V44)/(phi*Y44))</f>
        <v>9.5365127123179697E-2</v>
      </c>
      <c r="AA44" s="125">
        <f t="shared" ref="AA44:AA54" si="14">W44-Z44</f>
        <v>2.397475559285403E-2</v>
      </c>
      <c r="AB44" s="26">
        <f t="shared" ref="AB44:AB54" si="15">Z44</f>
        <v>9.5365127123179697E-2</v>
      </c>
      <c r="AC44" s="32">
        <f t="shared" ref="AC44:AC54" si="16">phi*rhop*AB44*$V44/(muf)</f>
        <v>4.7009197993953569</v>
      </c>
      <c r="AD44" s="32">
        <f t="shared" ref="AD44:AX44" si="17">IF($K$25="CD",IF(AC44&lt;0.1,24/AC44,IF(AC44&gt;1000,0.4,18.5/AC44^0.6)),24/AC44+3/SQRT(AC44)+0.34)</f>
        <v>7.3090683514950419</v>
      </c>
      <c r="AE44" s="122">
        <f t="shared" ref="AE44:AE54" si="18">SQRT(4/3*(rhof-rhop)/rhop*(g*$V44)/(phi*AD44))</f>
        <v>8.9160149421926668E-2</v>
      </c>
      <c r="AF44" s="125">
        <f t="shared" ref="AF44" si="19">AB44-AE44</f>
        <v>6.2049777012530283E-3</v>
      </c>
      <c r="AG44" s="26">
        <f t="shared" ref="AG44" si="20">AE44</f>
        <v>8.9160149421926668E-2</v>
      </c>
      <c r="AH44" s="32">
        <f t="shared" ref="AH44:AH54" si="21">phi*rhop*AG44*$V44/(muf)</f>
        <v>4.395052199670455</v>
      </c>
      <c r="AI44" s="32">
        <f t="shared" si="17"/>
        <v>7.6101515572149339</v>
      </c>
      <c r="AJ44" s="122">
        <f t="shared" ref="AJ44:AJ54" si="22">SQRT(4/3*(rhof-rhop)/rhop*(g*$V44)/(phi*AI44))</f>
        <v>8.7378612927367524E-2</v>
      </c>
      <c r="AK44" s="125">
        <f t="shared" ref="AK44" si="23">AG44-AJ44</f>
        <v>1.7815364945591439E-3</v>
      </c>
      <c r="AL44" s="26">
        <f t="shared" ref="AL44" si="24">AJ44</f>
        <v>8.7378612927367524E-2</v>
      </c>
      <c r="AM44" s="32">
        <f t="shared" ref="AM44:AM54" si="25">phi*rhop*AL44*$V44/(muf)</f>
        <v>4.3072333036729598</v>
      </c>
      <c r="AN44" s="32">
        <f t="shared" si="17"/>
        <v>7.7028721686847819</v>
      </c>
      <c r="AO44" s="122">
        <f t="shared" ref="AO44:AO54" si="26">SQRT(4/3*(rhof-rhop)/rhop*(g*$V44)/(phi*AN44))</f>
        <v>8.6851126119299391E-2</v>
      </c>
      <c r="AP44" s="125">
        <f t="shared" ref="AP44" si="27">AL44-AO44</f>
        <v>5.2748680806813386E-4</v>
      </c>
      <c r="AQ44" s="26">
        <f t="shared" ref="AQ44" si="28">AO44</f>
        <v>8.6851126119299391E-2</v>
      </c>
      <c r="AR44" s="32">
        <f t="shared" ref="AR44:AR54" si="29">phi*rhop*AQ44*$V44/(muf)</f>
        <v>4.2812314175037685</v>
      </c>
      <c r="AS44" s="32">
        <f t="shared" si="17"/>
        <v>7.7309080186306485</v>
      </c>
      <c r="AT44" s="122">
        <f t="shared" ref="AT44:AT54" si="30">SQRT(4/3*(rhof-rhop)/rhop*(g*$V44)/(phi*AS44))</f>
        <v>8.6693501898120598E-2</v>
      </c>
      <c r="AU44" s="125">
        <f t="shared" ref="AU44" si="31">AQ44-AT44</f>
        <v>1.576242211787926E-4</v>
      </c>
      <c r="AV44" s="26">
        <f t="shared" ref="AV44" si="32">AT44</f>
        <v>8.6693501898120598E-2</v>
      </c>
      <c r="AW44" s="32">
        <f t="shared" ref="AW44:AW54" si="33">phi*rhop*AV44*$V44/(muf)</f>
        <v>4.2734615036520669</v>
      </c>
      <c r="AX44" s="123">
        <f t="shared" si="17"/>
        <v>7.7393386547396474</v>
      </c>
      <c r="AY44" s="133">
        <f t="shared" ref="AY44:AY54" si="34">SQRT(4/3*(rhof-rhop)/rhop*(g*$V44)/(phi*AX44))</f>
        <v>8.6646270438818673E-2</v>
      </c>
      <c r="AZ44" s="130">
        <f t="shared" ref="AZ44" si="35">AV44-AY44</f>
        <v>4.7231459301924628E-5</v>
      </c>
      <c r="BA44" s="110">
        <f>VLOOKUP(B44,'Material Gradations'!$M$4:$M$23,1,TRUE)</f>
        <v>2.1367521367521247E-2</v>
      </c>
      <c r="BB44" s="110">
        <f>INDEX('Material Gradations'!$M$4:$M$23,MATCH(BA44,'Material Gradations'!$M$4:$M$23,0)+1,1)</f>
        <v>7.6923076923076955E-2</v>
      </c>
      <c r="BC44" s="74">
        <f>INDEX('Material Gradations'!$K$4:$K$23,MATCH(Vs!BA44,'Material Gradations'!$M$4:$M$23,0),1)</f>
        <v>0.25</v>
      </c>
      <c r="BD44" s="74">
        <f>INDEX('Material Gradations'!$K$4:$K$23,MATCH(Vs!BB44,'Material Gradations'!$M$4:$M$23,0),1)</f>
        <v>0.17699999999999999</v>
      </c>
      <c r="BE44" s="118">
        <f>IFERROR(B44-B42,B44)</f>
        <v>2.1367521367521247E-2</v>
      </c>
    </row>
    <row r="45" spans="1:57" x14ac:dyDescent="0.25">
      <c r="A45" s="136"/>
      <c r="B45" s="114">
        <v>0.64</v>
      </c>
      <c r="C45" s="21">
        <f t="shared" si="7"/>
        <v>7.2388905976671228E-3</v>
      </c>
      <c r="D45" s="32">
        <f t="shared" ref="D45:D54" si="36">AY45</f>
        <v>1.0005749263780821E-4</v>
      </c>
      <c r="E45" s="112">
        <f t="shared" si="8"/>
        <v>2</v>
      </c>
      <c r="F45" s="113">
        <f t="shared" si="9"/>
        <v>1</v>
      </c>
      <c r="G45" s="75">
        <f t="shared" ref="G45:G54" si="37">1-F45</f>
        <v>0</v>
      </c>
      <c r="V45" s="123">
        <f t="shared" ref="V45:V54" si="38">CONVERT(C45,"mm","ft")</f>
        <v>2.3749641068461691E-5</v>
      </c>
      <c r="W45" s="26">
        <f t="shared" si="10"/>
        <v>1.0005749263780824E-4</v>
      </c>
      <c r="X45" s="32">
        <f t="shared" si="11"/>
        <v>1.428153438827415E-4</v>
      </c>
      <c r="Y45" s="32">
        <f t="shared" si="12"/>
        <v>168049.16998067935</v>
      </c>
      <c r="Z45" s="122">
        <f t="shared" si="13"/>
        <v>1.0005749263780823E-4</v>
      </c>
      <c r="AA45" s="125">
        <f t="shared" si="14"/>
        <v>0</v>
      </c>
      <c r="AB45" s="26">
        <f t="shared" si="15"/>
        <v>1.0005749263780823E-4</v>
      </c>
      <c r="AC45" s="32">
        <f t="shared" si="16"/>
        <v>1.4281534388274148E-4</v>
      </c>
      <c r="AD45" s="32">
        <f t="shared" ref="AD45" si="39">IF($K$25="CD",IF(AC45&lt;0.1,24/AC45,IF(AC45&gt;1000,0.4,18.5/AC45^0.6)),24/AC45+3/SQRT(AC45)+0.34)</f>
        <v>168049.16998067938</v>
      </c>
      <c r="AE45" s="122">
        <f t="shared" si="18"/>
        <v>1.0005749263780821E-4</v>
      </c>
      <c r="AF45" s="125">
        <f t="shared" ref="AF45:AF54" si="40">AB45-AE45</f>
        <v>0</v>
      </c>
      <c r="AG45" s="26">
        <f t="shared" ref="AG45:AG54" si="41">AE45</f>
        <v>1.0005749263780821E-4</v>
      </c>
      <c r="AH45" s="32">
        <f t="shared" si="21"/>
        <v>1.4281534388274145E-4</v>
      </c>
      <c r="AI45" s="32">
        <f t="shared" ref="AI45" si="42">IF($K$25="CD",IF(AH45&lt;0.1,24/AH45,IF(AH45&gt;1000,0.4,18.5/AH45^0.6)),24/AH45+3/SQRT(AH45)+0.34)</f>
        <v>168049.16998067941</v>
      </c>
      <c r="AJ45" s="122">
        <f t="shared" si="22"/>
        <v>1.0005749263780821E-4</v>
      </c>
      <c r="AK45" s="125">
        <f t="shared" ref="AK45:AK54" si="43">AG45-AJ45</f>
        <v>0</v>
      </c>
      <c r="AL45" s="26">
        <f t="shared" ref="AL45:AL54" si="44">AJ45</f>
        <v>1.0005749263780821E-4</v>
      </c>
      <c r="AM45" s="32">
        <f t="shared" si="25"/>
        <v>1.4281534388274145E-4</v>
      </c>
      <c r="AN45" s="32">
        <f t="shared" ref="AN45" si="45">IF($K$25="CD",IF(AM45&lt;0.1,24/AM45,IF(AM45&gt;1000,0.4,18.5/AM45^0.6)),24/AM45+3/SQRT(AM45)+0.34)</f>
        <v>168049.16998067941</v>
      </c>
      <c r="AO45" s="122">
        <f t="shared" si="26"/>
        <v>1.0005749263780821E-4</v>
      </c>
      <c r="AP45" s="125">
        <f t="shared" ref="AP45:AP54" si="46">AL45-AO45</f>
        <v>0</v>
      </c>
      <c r="AQ45" s="26">
        <f t="shared" ref="AQ45:AQ54" si="47">AO45</f>
        <v>1.0005749263780821E-4</v>
      </c>
      <c r="AR45" s="32">
        <f t="shared" si="29"/>
        <v>1.4281534388274145E-4</v>
      </c>
      <c r="AS45" s="32">
        <f t="shared" ref="AS45" si="48">IF($K$25="CD",IF(AR45&lt;0.1,24/AR45,IF(AR45&gt;1000,0.4,18.5/AR45^0.6)),24/AR45+3/SQRT(AR45)+0.34)</f>
        <v>168049.16998067941</v>
      </c>
      <c r="AT45" s="122">
        <f t="shared" si="30"/>
        <v>1.0005749263780821E-4</v>
      </c>
      <c r="AU45" s="125">
        <f t="shared" ref="AU45:AU54" si="49">AQ45-AT45</f>
        <v>0</v>
      </c>
      <c r="AV45" s="26">
        <f t="shared" ref="AV45:AV54" si="50">AT45</f>
        <v>1.0005749263780821E-4</v>
      </c>
      <c r="AW45" s="32">
        <f t="shared" si="33"/>
        <v>1.4281534388274145E-4</v>
      </c>
      <c r="AX45" s="123">
        <f t="shared" ref="AX45" si="51">IF($K$25="CD",IF(AW45&lt;0.1,24/AW45,IF(AW45&gt;1000,0.4,18.5/AW45^0.6)),24/AW45+3/SQRT(AW45)+0.34)</f>
        <v>168049.16998067941</v>
      </c>
      <c r="AY45" s="134">
        <f t="shared" si="34"/>
        <v>1.0005749263780821E-4</v>
      </c>
      <c r="AZ45" s="130">
        <f t="shared" ref="AZ45:AZ54" si="52">AV45-AY45</f>
        <v>0</v>
      </c>
      <c r="BA45" s="110">
        <f>VLOOKUP(B45,'Material Gradations'!$M$4:$M$23,1,TRUE)</f>
        <v>0.58560000000000001</v>
      </c>
      <c r="BB45" s="110">
        <f>INDEX('Material Gradations'!$M$4:$M$23,MATCH(BA45,'Material Gradations'!$M$4:$M$23,0)+1,1)</f>
        <v>0.65462481488122237</v>
      </c>
      <c r="BC45" s="74">
        <f>INDEX('Material Gradations'!$K$4:$K$23,MATCH(Vs!BA45,'Material Gradations'!$M$4:$M$23,0),1)</f>
        <v>9.2913629247812733E-3</v>
      </c>
      <c r="BD45" s="74">
        <f>INDEX('Material Gradations'!$K$4:$K$23,MATCH(Vs!BB45,'Material Gradations'!$M$4:$M$23,0),1)</f>
        <v>6.6871069977980768E-3</v>
      </c>
      <c r="BE45" s="118">
        <f t="shared" ref="BE45:BE55" si="53">IFERROR(B45-B44,B45)</f>
        <v>0.61863247863247872</v>
      </c>
    </row>
    <row r="46" spans="1:57" x14ac:dyDescent="0.25">
      <c r="A46" s="136"/>
      <c r="B46" s="114">
        <v>0.65</v>
      </c>
      <c r="C46" s="21">
        <f t="shared" si="7"/>
        <v>6.8615978904770216E-3</v>
      </c>
      <c r="D46" s="32">
        <f t="shared" si="36"/>
        <v>8.9899259911372617E-5</v>
      </c>
      <c r="E46" s="112">
        <f t="shared" si="8"/>
        <v>1.9529150655794341</v>
      </c>
      <c r="F46" s="113">
        <f t="shared" si="9"/>
        <v>0.97645753278971703</v>
      </c>
      <c r="G46" s="75">
        <f t="shared" si="37"/>
        <v>2.3542467210282969E-2</v>
      </c>
      <c r="V46" s="123">
        <f t="shared" si="38"/>
        <v>2.2511804102614902E-5</v>
      </c>
      <c r="W46" s="26">
        <f t="shared" si="10"/>
        <v>8.9899259911372644E-5</v>
      </c>
      <c r="X46" s="32">
        <f t="shared" si="11"/>
        <v>1.2162829567856476E-4</v>
      </c>
      <c r="Y46" s="32">
        <f t="shared" si="12"/>
        <v>197322.50514655246</v>
      </c>
      <c r="Z46" s="122">
        <f t="shared" si="13"/>
        <v>8.9899259911372631E-5</v>
      </c>
      <c r="AA46" s="125">
        <f t="shared" si="14"/>
        <v>0</v>
      </c>
      <c r="AB46" s="26">
        <f t="shared" si="15"/>
        <v>8.9899259911372631E-5</v>
      </c>
      <c r="AC46" s="32">
        <f t="shared" si="16"/>
        <v>1.2162829567856473E-4</v>
      </c>
      <c r="AD46" s="32">
        <f t="shared" ref="AD46" si="54">IF($K$25="CD",IF(AC46&lt;0.1,24/AC46,IF(AC46&gt;1000,0.4,18.5/AC46^0.6)),24/AC46+3/SQRT(AC46)+0.34)</f>
        <v>197322.50514655252</v>
      </c>
      <c r="AE46" s="122">
        <f t="shared" si="18"/>
        <v>8.9899259911372617E-5</v>
      </c>
      <c r="AF46" s="125">
        <f t="shared" si="40"/>
        <v>0</v>
      </c>
      <c r="AG46" s="26">
        <f t="shared" si="41"/>
        <v>8.9899259911372617E-5</v>
      </c>
      <c r="AH46" s="32">
        <f t="shared" si="21"/>
        <v>1.2162829567856473E-4</v>
      </c>
      <c r="AI46" s="32">
        <f t="shared" ref="AI46" si="55">IF($K$25="CD",IF(AH46&lt;0.1,24/AH46,IF(AH46&gt;1000,0.4,18.5/AH46^0.6)),24/AH46+3/SQRT(AH46)+0.34)</f>
        <v>197322.50514655252</v>
      </c>
      <c r="AJ46" s="122">
        <f t="shared" si="22"/>
        <v>8.9899259911372617E-5</v>
      </c>
      <c r="AK46" s="125">
        <f t="shared" si="43"/>
        <v>0</v>
      </c>
      <c r="AL46" s="26">
        <f t="shared" si="44"/>
        <v>8.9899259911372617E-5</v>
      </c>
      <c r="AM46" s="32">
        <f t="shared" si="25"/>
        <v>1.2162829567856473E-4</v>
      </c>
      <c r="AN46" s="32">
        <f t="shared" ref="AN46" si="56">IF($K$25="CD",IF(AM46&lt;0.1,24/AM46,IF(AM46&gt;1000,0.4,18.5/AM46^0.6)),24/AM46+3/SQRT(AM46)+0.34)</f>
        <v>197322.50514655252</v>
      </c>
      <c r="AO46" s="122">
        <f t="shared" si="26"/>
        <v>8.9899259911372617E-5</v>
      </c>
      <c r="AP46" s="125">
        <f t="shared" si="46"/>
        <v>0</v>
      </c>
      <c r="AQ46" s="26">
        <f t="shared" si="47"/>
        <v>8.9899259911372617E-5</v>
      </c>
      <c r="AR46" s="32">
        <f t="shared" si="29"/>
        <v>1.2162829567856473E-4</v>
      </c>
      <c r="AS46" s="32">
        <f t="shared" ref="AS46" si="57">IF($K$25="CD",IF(AR46&lt;0.1,24/AR46,IF(AR46&gt;1000,0.4,18.5/AR46^0.6)),24/AR46+3/SQRT(AR46)+0.34)</f>
        <v>197322.50514655252</v>
      </c>
      <c r="AT46" s="122">
        <f t="shared" si="30"/>
        <v>8.9899259911372617E-5</v>
      </c>
      <c r="AU46" s="125">
        <f t="shared" si="49"/>
        <v>0</v>
      </c>
      <c r="AV46" s="26">
        <f t="shared" si="50"/>
        <v>8.9899259911372617E-5</v>
      </c>
      <c r="AW46" s="32">
        <f t="shared" si="33"/>
        <v>1.2162829567856473E-4</v>
      </c>
      <c r="AX46" s="123">
        <f t="shared" ref="AX46" si="58">IF($K$25="CD",IF(AW46&lt;0.1,24/AW46,IF(AW46&gt;1000,0.4,18.5/AW46^0.6)),24/AW46+3/SQRT(AW46)+0.34)</f>
        <v>197322.50514655252</v>
      </c>
      <c r="AY46" s="134">
        <f t="shared" si="34"/>
        <v>8.9899259911372617E-5</v>
      </c>
      <c r="AZ46" s="130">
        <f t="shared" si="52"/>
        <v>0</v>
      </c>
      <c r="BA46" s="110">
        <f>VLOOKUP(B46,'Material Gradations'!$M$4:$M$23,1,TRUE)</f>
        <v>0.58560000000000001</v>
      </c>
      <c r="BB46" s="110">
        <f>INDEX('Material Gradations'!$M$4:$M$23,MATCH(BA46,'Material Gradations'!$M$4:$M$23,0)+1,1)</f>
        <v>0.65462481488122237</v>
      </c>
      <c r="BC46" s="74">
        <f>INDEX('Material Gradations'!$K$4:$K$23,MATCH(Vs!BA46,'Material Gradations'!$M$4:$M$23,0),1)</f>
        <v>9.2913629247812733E-3</v>
      </c>
      <c r="BD46" s="74">
        <f>INDEX('Material Gradations'!$K$4:$K$23,MATCH(Vs!BB46,'Material Gradations'!$M$4:$M$23,0),1)</f>
        <v>6.6871069977980768E-3</v>
      </c>
      <c r="BE46" s="118">
        <f t="shared" si="53"/>
        <v>1.0000000000000009E-2</v>
      </c>
    </row>
    <row r="47" spans="1:57" x14ac:dyDescent="0.25">
      <c r="A47" s="136"/>
      <c r="B47" s="114">
        <v>0.66</v>
      </c>
      <c r="C47" s="21">
        <f t="shared" si="7"/>
        <v>6.4211002038159336E-3</v>
      </c>
      <c r="D47" s="32">
        <f t="shared" si="36"/>
        <v>7.872714168395925E-5</v>
      </c>
      <c r="E47" s="112">
        <f t="shared" si="8"/>
        <v>1.7102189852973528</v>
      </c>
      <c r="F47" s="113">
        <f t="shared" si="9"/>
        <v>0.85510949264867642</v>
      </c>
      <c r="G47" s="75">
        <f t="shared" si="37"/>
        <v>0.14489050735132358</v>
      </c>
      <c r="V47" s="123">
        <f t="shared" si="38"/>
        <v>2.1066601718556212E-5</v>
      </c>
      <c r="W47" s="26">
        <f t="shared" si="10"/>
        <v>7.8727141683959263E-5</v>
      </c>
      <c r="X47" s="32">
        <f t="shared" si="11"/>
        <v>9.9675213020286561E-5</v>
      </c>
      <c r="Y47" s="32">
        <f t="shared" si="12"/>
        <v>240782.0286786381</v>
      </c>
      <c r="Z47" s="122">
        <f t="shared" si="13"/>
        <v>7.872714168395925E-5</v>
      </c>
      <c r="AA47" s="125">
        <f t="shared" si="14"/>
        <v>0</v>
      </c>
      <c r="AB47" s="26">
        <f t="shared" si="15"/>
        <v>7.872714168395925E-5</v>
      </c>
      <c r="AC47" s="32">
        <f t="shared" si="16"/>
        <v>9.9675213020286534E-5</v>
      </c>
      <c r="AD47" s="32">
        <f t="shared" ref="AD47" si="59">IF($K$25="CD",IF(AC47&lt;0.1,24/AC47,IF(AC47&gt;1000,0.4,18.5/AC47^0.6)),24/AC47+3/SQRT(AC47)+0.34)</f>
        <v>240782.02867863816</v>
      </c>
      <c r="AE47" s="122">
        <f t="shared" si="18"/>
        <v>7.872714168395925E-5</v>
      </c>
      <c r="AF47" s="125">
        <f t="shared" si="40"/>
        <v>0</v>
      </c>
      <c r="AG47" s="26">
        <f t="shared" si="41"/>
        <v>7.872714168395925E-5</v>
      </c>
      <c r="AH47" s="32">
        <f t="shared" si="21"/>
        <v>9.9675213020286534E-5</v>
      </c>
      <c r="AI47" s="32">
        <f t="shared" ref="AI47" si="60">IF($K$25="CD",IF(AH47&lt;0.1,24/AH47,IF(AH47&gt;1000,0.4,18.5/AH47^0.6)),24/AH47+3/SQRT(AH47)+0.34)</f>
        <v>240782.02867863816</v>
      </c>
      <c r="AJ47" s="122">
        <f t="shared" si="22"/>
        <v>7.872714168395925E-5</v>
      </c>
      <c r="AK47" s="125">
        <f t="shared" si="43"/>
        <v>0</v>
      </c>
      <c r="AL47" s="26">
        <f t="shared" si="44"/>
        <v>7.872714168395925E-5</v>
      </c>
      <c r="AM47" s="32">
        <f t="shared" si="25"/>
        <v>9.9675213020286534E-5</v>
      </c>
      <c r="AN47" s="32">
        <f t="shared" ref="AN47" si="61">IF($K$25="CD",IF(AM47&lt;0.1,24/AM47,IF(AM47&gt;1000,0.4,18.5/AM47^0.6)),24/AM47+3/SQRT(AM47)+0.34)</f>
        <v>240782.02867863816</v>
      </c>
      <c r="AO47" s="122">
        <f t="shared" si="26"/>
        <v>7.872714168395925E-5</v>
      </c>
      <c r="AP47" s="125">
        <f t="shared" si="46"/>
        <v>0</v>
      </c>
      <c r="AQ47" s="26">
        <f t="shared" si="47"/>
        <v>7.872714168395925E-5</v>
      </c>
      <c r="AR47" s="32">
        <f t="shared" si="29"/>
        <v>9.9675213020286534E-5</v>
      </c>
      <c r="AS47" s="32">
        <f t="shared" ref="AS47" si="62">IF($K$25="CD",IF(AR47&lt;0.1,24/AR47,IF(AR47&gt;1000,0.4,18.5/AR47^0.6)),24/AR47+3/SQRT(AR47)+0.34)</f>
        <v>240782.02867863816</v>
      </c>
      <c r="AT47" s="122">
        <f t="shared" si="30"/>
        <v>7.872714168395925E-5</v>
      </c>
      <c r="AU47" s="125">
        <f t="shared" si="49"/>
        <v>0</v>
      </c>
      <c r="AV47" s="26">
        <f t="shared" si="50"/>
        <v>7.872714168395925E-5</v>
      </c>
      <c r="AW47" s="32">
        <f t="shared" si="33"/>
        <v>9.9675213020286534E-5</v>
      </c>
      <c r="AX47" s="123">
        <f t="shared" ref="AX47" si="63">IF($K$25="CD",IF(AW47&lt;0.1,24/AW47,IF(AW47&gt;1000,0.4,18.5/AW47^0.6)),24/AW47+3/SQRT(AW47)+0.34)</f>
        <v>240782.02867863816</v>
      </c>
      <c r="AY47" s="134">
        <f t="shared" si="34"/>
        <v>7.872714168395925E-5</v>
      </c>
      <c r="AZ47" s="130">
        <f t="shared" si="52"/>
        <v>0</v>
      </c>
      <c r="BA47" s="110">
        <f>VLOOKUP(B47,'Material Gradations'!$M$4:$M$23,1,TRUE)</f>
        <v>0.65462481488122237</v>
      </c>
      <c r="BB47" s="110">
        <f>INDEX('Material Gradations'!$M$4:$M$23,MATCH(BA47,'Material Gradations'!$M$4:$M$23,0)+1,1)</f>
        <v>0.72369985190497987</v>
      </c>
      <c r="BC47" s="74">
        <f>INDEX('Material Gradations'!$K$4:$K$23,MATCH(Vs!BA47,'Material Gradations'!$M$4:$M$23,0),1)</f>
        <v>6.6871069977980768E-3</v>
      </c>
      <c r="BD47" s="74">
        <f>INDEX('Material Gradations'!$K$4:$K$23,MATCH(Vs!BB47,'Material Gradations'!$M$4:$M$23,0),1)</f>
        <v>3.2687262840439854E-3</v>
      </c>
      <c r="BE47" s="118">
        <f t="shared" si="53"/>
        <v>1.0000000000000009E-2</v>
      </c>
    </row>
    <row r="48" spans="1:57" x14ac:dyDescent="0.25">
      <c r="A48" s="136"/>
      <c r="B48" s="114">
        <v>0.67</v>
      </c>
      <c r="C48" s="21">
        <f t="shared" si="7"/>
        <v>5.9262208869104091E-3</v>
      </c>
      <c r="D48" s="32">
        <f t="shared" si="36"/>
        <v>6.7059646383842633E-5</v>
      </c>
      <c r="E48" s="112">
        <f t="shared" si="8"/>
        <v>1.4567616445846681</v>
      </c>
      <c r="F48" s="113">
        <f t="shared" si="9"/>
        <v>0.72838082229233403</v>
      </c>
      <c r="G48" s="75">
        <f t="shared" si="37"/>
        <v>0.27161917770766597</v>
      </c>
      <c r="V48" s="123">
        <f t="shared" si="38"/>
        <v>1.9442981912435727E-5</v>
      </c>
      <c r="W48" s="26">
        <f t="shared" si="10"/>
        <v>6.7059646383842633E-5</v>
      </c>
      <c r="X48" s="32">
        <f t="shared" si="11"/>
        <v>7.8359622487269291E-5</v>
      </c>
      <c r="Y48" s="32">
        <f t="shared" si="12"/>
        <v>306280.18918670982</v>
      </c>
      <c r="Z48" s="122">
        <f t="shared" si="13"/>
        <v>6.7059646383842633E-5</v>
      </c>
      <c r="AA48" s="125">
        <f t="shared" si="14"/>
        <v>0</v>
      </c>
      <c r="AB48" s="26">
        <f t="shared" si="15"/>
        <v>6.7059646383842633E-5</v>
      </c>
      <c r="AC48" s="32">
        <f t="shared" si="16"/>
        <v>7.8359622487269291E-5</v>
      </c>
      <c r="AD48" s="32">
        <f t="shared" ref="AD48" si="64">IF($K$25="CD",IF(AC48&lt;0.1,24/AC48,IF(AC48&gt;1000,0.4,18.5/AC48^0.6)),24/AC48+3/SQRT(AC48)+0.34)</f>
        <v>306280.18918670982</v>
      </c>
      <c r="AE48" s="122">
        <f t="shared" si="18"/>
        <v>6.7059646383842633E-5</v>
      </c>
      <c r="AF48" s="125">
        <f t="shared" si="40"/>
        <v>0</v>
      </c>
      <c r="AG48" s="26">
        <f t="shared" si="41"/>
        <v>6.7059646383842633E-5</v>
      </c>
      <c r="AH48" s="32">
        <f t="shared" si="21"/>
        <v>7.8359622487269291E-5</v>
      </c>
      <c r="AI48" s="32">
        <f t="shared" ref="AI48" si="65">IF($K$25="CD",IF(AH48&lt;0.1,24/AH48,IF(AH48&gt;1000,0.4,18.5/AH48^0.6)),24/AH48+3/SQRT(AH48)+0.34)</f>
        <v>306280.18918670982</v>
      </c>
      <c r="AJ48" s="122">
        <f t="shared" si="22"/>
        <v>6.7059646383842633E-5</v>
      </c>
      <c r="AK48" s="125">
        <f t="shared" si="43"/>
        <v>0</v>
      </c>
      <c r="AL48" s="26">
        <f t="shared" si="44"/>
        <v>6.7059646383842633E-5</v>
      </c>
      <c r="AM48" s="32">
        <f t="shared" si="25"/>
        <v>7.8359622487269291E-5</v>
      </c>
      <c r="AN48" s="32">
        <f t="shared" ref="AN48" si="66">IF($K$25="CD",IF(AM48&lt;0.1,24/AM48,IF(AM48&gt;1000,0.4,18.5/AM48^0.6)),24/AM48+3/SQRT(AM48)+0.34)</f>
        <v>306280.18918670982</v>
      </c>
      <c r="AO48" s="122">
        <f t="shared" si="26"/>
        <v>6.7059646383842633E-5</v>
      </c>
      <c r="AP48" s="125">
        <f t="shared" si="46"/>
        <v>0</v>
      </c>
      <c r="AQ48" s="26">
        <f t="shared" si="47"/>
        <v>6.7059646383842633E-5</v>
      </c>
      <c r="AR48" s="32">
        <f t="shared" si="29"/>
        <v>7.8359622487269291E-5</v>
      </c>
      <c r="AS48" s="32">
        <f t="shared" ref="AS48" si="67">IF($K$25="CD",IF(AR48&lt;0.1,24/AR48,IF(AR48&gt;1000,0.4,18.5/AR48^0.6)),24/AR48+3/SQRT(AR48)+0.34)</f>
        <v>306280.18918670982</v>
      </c>
      <c r="AT48" s="122">
        <f t="shared" si="30"/>
        <v>6.7059646383842633E-5</v>
      </c>
      <c r="AU48" s="125">
        <f t="shared" si="49"/>
        <v>0</v>
      </c>
      <c r="AV48" s="26">
        <f t="shared" si="50"/>
        <v>6.7059646383842633E-5</v>
      </c>
      <c r="AW48" s="32">
        <f t="shared" si="33"/>
        <v>7.8359622487269291E-5</v>
      </c>
      <c r="AX48" s="123">
        <f t="shared" ref="AX48" si="68">IF($K$25="CD",IF(AW48&lt;0.1,24/AW48,IF(AW48&gt;1000,0.4,18.5/AW48^0.6)),24/AW48+3/SQRT(AW48)+0.34)</f>
        <v>306280.18918670982</v>
      </c>
      <c r="AY48" s="134">
        <f t="shared" si="34"/>
        <v>6.7059646383842633E-5</v>
      </c>
      <c r="AZ48" s="130">
        <f t="shared" si="52"/>
        <v>0</v>
      </c>
      <c r="BA48" s="110">
        <f>VLOOKUP(B48,'Material Gradations'!$M$4:$M$23,1,TRUE)</f>
        <v>0.65462481488122237</v>
      </c>
      <c r="BB48" s="110">
        <f>INDEX('Material Gradations'!$M$4:$M$23,MATCH(BA48,'Material Gradations'!$M$4:$M$23,0)+1,1)</f>
        <v>0.72369985190497987</v>
      </c>
      <c r="BC48" s="74">
        <f>INDEX('Material Gradations'!$K$4:$K$23,MATCH(Vs!BA48,'Material Gradations'!$M$4:$M$23,0),1)</f>
        <v>6.6871069977980768E-3</v>
      </c>
      <c r="BD48" s="74">
        <f>INDEX('Material Gradations'!$K$4:$K$23,MATCH(Vs!BB48,'Material Gradations'!$M$4:$M$23,0),1)</f>
        <v>3.2687262840439854E-3</v>
      </c>
      <c r="BE48" s="118">
        <f t="shared" si="53"/>
        <v>1.0000000000000009E-2</v>
      </c>
    </row>
    <row r="49" spans="1:57" x14ac:dyDescent="0.25">
      <c r="A49" s="136"/>
      <c r="B49" s="114">
        <v>0.68</v>
      </c>
      <c r="C49" s="21">
        <f t="shared" si="7"/>
        <v>5.4313415700048846E-3</v>
      </c>
      <c r="D49" s="32">
        <f t="shared" si="36"/>
        <v>5.6327415026680677E-5</v>
      </c>
      <c r="E49" s="112">
        <f t="shared" si="8"/>
        <v>1.223621390422974</v>
      </c>
      <c r="F49" s="113">
        <f t="shared" si="9"/>
        <v>0.61181069521148701</v>
      </c>
      <c r="G49" s="75">
        <f t="shared" si="37"/>
        <v>0.38818930478851299</v>
      </c>
      <c r="V49" s="123">
        <f t="shared" si="38"/>
        <v>1.7819362106315239E-5</v>
      </c>
      <c r="W49" s="26">
        <f t="shared" si="10"/>
        <v>5.6327415026680691E-5</v>
      </c>
      <c r="X49" s="32">
        <f t="shared" si="11"/>
        <v>6.0322617517158098E-5</v>
      </c>
      <c r="Y49" s="32">
        <f t="shared" si="12"/>
        <v>397860.71937567141</v>
      </c>
      <c r="Z49" s="122">
        <f t="shared" si="13"/>
        <v>5.6327415026680684E-5</v>
      </c>
      <c r="AA49" s="125">
        <f t="shared" si="14"/>
        <v>0</v>
      </c>
      <c r="AB49" s="26">
        <f t="shared" si="15"/>
        <v>5.6327415026680684E-5</v>
      </c>
      <c r="AC49" s="32">
        <f t="shared" si="16"/>
        <v>6.0322617517158084E-5</v>
      </c>
      <c r="AD49" s="32">
        <f t="shared" ref="AD49" si="69">IF($K$25="CD",IF(AC49&lt;0.1,24/AC49,IF(AC49&gt;1000,0.4,18.5/AC49^0.6)),24/AC49+3/SQRT(AC49)+0.34)</f>
        <v>397860.71937567153</v>
      </c>
      <c r="AE49" s="122">
        <f t="shared" si="18"/>
        <v>5.6327415026680677E-5</v>
      </c>
      <c r="AF49" s="125">
        <f t="shared" si="40"/>
        <v>0</v>
      </c>
      <c r="AG49" s="26">
        <f t="shared" si="41"/>
        <v>5.6327415026680677E-5</v>
      </c>
      <c r="AH49" s="32">
        <f t="shared" si="21"/>
        <v>6.0322617517158084E-5</v>
      </c>
      <c r="AI49" s="32">
        <f t="shared" ref="AI49" si="70">IF($K$25="CD",IF(AH49&lt;0.1,24/AH49,IF(AH49&gt;1000,0.4,18.5/AH49^0.6)),24/AH49+3/SQRT(AH49)+0.34)</f>
        <v>397860.71937567153</v>
      </c>
      <c r="AJ49" s="122">
        <f t="shared" si="22"/>
        <v>5.6327415026680677E-5</v>
      </c>
      <c r="AK49" s="125">
        <f t="shared" si="43"/>
        <v>0</v>
      </c>
      <c r="AL49" s="26">
        <f t="shared" si="44"/>
        <v>5.6327415026680677E-5</v>
      </c>
      <c r="AM49" s="32">
        <f t="shared" si="25"/>
        <v>6.0322617517158084E-5</v>
      </c>
      <c r="AN49" s="32">
        <f t="shared" ref="AN49" si="71">IF($K$25="CD",IF(AM49&lt;0.1,24/AM49,IF(AM49&gt;1000,0.4,18.5/AM49^0.6)),24/AM49+3/SQRT(AM49)+0.34)</f>
        <v>397860.71937567153</v>
      </c>
      <c r="AO49" s="122">
        <f t="shared" si="26"/>
        <v>5.6327415026680677E-5</v>
      </c>
      <c r="AP49" s="125">
        <f t="shared" si="46"/>
        <v>0</v>
      </c>
      <c r="AQ49" s="26">
        <f t="shared" si="47"/>
        <v>5.6327415026680677E-5</v>
      </c>
      <c r="AR49" s="32">
        <f t="shared" si="29"/>
        <v>6.0322617517158084E-5</v>
      </c>
      <c r="AS49" s="32">
        <f t="shared" ref="AS49" si="72">IF($K$25="CD",IF(AR49&lt;0.1,24/AR49,IF(AR49&gt;1000,0.4,18.5/AR49^0.6)),24/AR49+3/SQRT(AR49)+0.34)</f>
        <v>397860.71937567153</v>
      </c>
      <c r="AT49" s="122">
        <f t="shared" si="30"/>
        <v>5.6327415026680677E-5</v>
      </c>
      <c r="AU49" s="125">
        <f t="shared" si="49"/>
        <v>0</v>
      </c>
      <c r="AV49" s="26">
        <f t="shared" si="50"/>
        <v>5.6327415026680677E-5</v>
      </c>
      <c r="AW49" s="32">
        <f t="shared" si="33"/>
        <v>6.0322617517158084E-5</v>
      </c>
      <c r="AX49" s="123">
        <f t="shared" ref="AX49" si="73">IF($K$25="CD",IF(AW49&lt;0.1,24/AW49,IF(AW49&gt;1000,0.4,18.5/AW49^0.6)),24/AW49+3/SQRT(AW49)+0.34)</f>
        <v>397860.71937567153</v>
      </c>
      <c r="AY49" s="134">
        <f t="shared" si="34"/>
        <v>5.6327415026680677E-5</v>
      </c>
      <c r="AZ49" s="130">
        <f t="shared" si="52"/>
        <v>0</v>
      </c>
      <c r="BA49" s="110">
        <f>VLOOKUP(B49,'Material Gradations'!$M$4:$M$23,1,TRUE)</f>
        <v>0.65462481488122237</v>
      </c>
      <c r="BB49" s="110">
        <f>INDEX('Material Gradations'!$M$4:$M$23,MATCH(BA49,'Material Gradations'!$M$4:$M$23,0)+1,1)</f>
        <v>0.72369985190497987</v>
      </c>
      <c r="BC49" s="74">
        <f>INDEX('Material Gradations'!$K$4:$K$23,MATCH(Vs!BA49,'Material Gradations'!$M$4:$M$23,0),1)</f>
        <v>6.6871069977980768E-3</v>
      </c>
      <c r="BD49" s="74">
        <f>INDEX('Material Gradations'!$K$4:$K$23,MATCH(Vs!BB49,'Material Gradations'!$M$4:$M$23,0),1)</f>
        <v>3.2687262840439854E-3</v>
      </c>
      <c r="BE49" s="118">
        <f t="shared" si="53"/>
        <v>1.0000000000000009E-2</v>
      </c>
    </row>
    <row r="50" spans="1:57" x14ac:dyDescent="0.25">
      <c r="A50" s="136"/>
      <c r="B50" s="114">
        <v>0.69</v>
      </c>
      <c r="C50" s="21">
        <f t="shared" si="7"/>
        <v>4.9364622530993652E-3</v>
      </c>
      <c r="D50" s="32">
        <f t="shared" si="36"/>
        <v>4.6530447612473511E-5</v>
      </c>
      <c r="E50" s="112">
        <f t="shared" si="8"/>
        <v>1.0107982228122738</v>
      </c>
      <c r="F50" s="113">
        <f t="shared" si="9"/>
        <v>0.50539911140613691</v>
      </c>
      <c r="G50" s="75">
        <f t="shared" si="37"/>
        <v>0.49460088859386309</v>
      </c>
      <c r="V50" s="123">
        <f t="shared" si="38"/>
        <v>1.6195742300194768E-5</v>
      </c>
      <c r="W50" s="26">
        <f t="shared" si="10"/>
        <v>4.6530447612473511E-5</v>
      </c>
      <c r="X50" s="32">
        <f t="shared" si="11"/>
        <v>4.5290414156443856E-5</v>
      </c>
      <c r="Y50" s="32">
        <f t="shared" si="12"/>
        <v>529913.45844395005</v>
      </c>
      <c r="Z50" s="122">
        <f t="shared" si="13"/>
        <v>4.6530447612473511E-5</v>
      </c>
      <c r="AA50" s="125">
        <f t="shared" si="14"/>
        <v>0</v>
      </c>
      <c r="AB50" s="26">
        <f t="shared" si="15"/>
        <v>4.6530447612473511E-5</v>
      </c>
      <c r="AC50" s="32">
        <f t="shared" si="16"/>
        <v>4.5290414156443856E-5</v>
      </c>
      <c r="AD50" s="32">
        <f t="shared" ref="AD50" si="74">IF($K$25="CD",IF(AC50&lt;0.1,24/AC50,IF(AC50&gt;1000,0.4,18.5/AC50^0.6)),24/AC50+3/SQRT(AC50)+0.34)</f>
        <v>529913.45844395005</v>
      </c>
      <c r="AE50" s="122">
        <f t="shared" si="18"/>
        <v>4.6530447612473511E-5</v>
      </c>
      <c r="AF50" s="125">
        <f t="shared" si="40"/>
        <v>0</v>
      </c>
      <c r="AG50" s="26">
        <f t="shared" si="41"/>
        <v>4.6530447612473511E-5</v>
      </c>
      <c r="AH50" s="32">
        <f t="shared" si="21"/>
        <v>4.5290414156443856E-5</v>
      </c>
      <c r="AI50" s="32">
        <f t="shared" ref="AI50" si="75">IF($K$25="CD",IF(AH50&lt;0.1,24/AH50,IF(AH50&gt;1000,0.4,18.5/AH50^0.6)),24/AH50+3/SQRT(AH50)+0.34)</f>
        <v>529913.45844395005</v>
      </c>
      <c r="AJ50" s="122">
        <f t="shared" si="22"/>
        <v>4.6530447612473511E-5</v>
      </c>
      <c r="AK50" s="125">
        <f t="shared" si="43"/>
        <v>0</v>
      </c>
      <c r="AL50" s="26">
        <f t="shared" si="44"/>
        <v>4.6530447612473511E-5</v>
      </c>
      <c r="AM50" s="32">
        <f t="shared" si="25"/>
        <v>4.5290414156443856E-5</v>
      </c>
      <c r="AN50" s="32">
        <f t="shared" ref="AN50" si="76">IF($K$25="CD",IF(AM50&lt;0.1,24/AM50,IF(AM50&gt;1000,0.4,18.5/AM50^0.6)),24/AM50+3/SQRT(AM50)+0.34)</f>
        <v>529913.45844395005</v>
      </c>
      <c r="AO50" s="122">
        <f t="shared" si="26"/>
        <v>4.6530447612473511E-5</v>
      </c>
      <c r="AP50" s="125">
        <f t="shared" si="46"/>
        <v>0</v>
      </c>
      <c r="AQ50" s="26">
        <f t="shared" si="47"/>
        <v>4.6530447612473511E-5</v>
      </c>
      <c r="AR50" s="32">
        <f t="shared" si="29"/>
        <v>4.5290414156443856E-5</v>
      </c>
      <c r="AS50" s="32">
        <f t="shared" ref="AS50" si="77">IF($K$25="CD",IF(AR50&lt;0.1,24/AR50,IF(AR50&gt;1000,0.4,18.5/AR50^0.6)),24/AR50+3/SQRT(AR50)+0.34)</f>
        <v>529913.45844395005</v>
      </c>
      <c r="AT50" s="122">
        <f t="shared" si="30"/>
        <v>4.6530447612473511E-5</v>
      </c>
      <c r="AU50" s="125">
        <f t="shared" si="49"/>
        <v>0</v>
      </c>
      <c r="AV50" s="26">
        <f t="shared" si="50"/>
        <v>4.6530447612473511E-5</v>
      </c>
      <c r="AW50" s="32">
        <f t="shared" si="33"/>
        <v>4.5290414156443856E-5</v>
      </c>
      <c r="AX50" s="123">
        <f t="shared" ref="AX50" si="78">IF($K$25="CD",IF(AW50&lt;0.1,24/AW50,IF(AW50&gt;1000,0.4,18.5/AW50^0.6)),24/AW50+3/SQRT(AW50)+0.34)</f>
        <v>529913.45844395005</v>
      </c>
      <c r="AY50" s="134">
        <f t="shared" si="34"/>
        <v>4.6530447612473511E-5</v>
      </c>
      <c r="AZ50" s="130">
        <f t="shared" si="52"/>
        <v>0</v>
      </c>
      <c r="BA50" s="110">
        <f>VLOOKUP(B50,'Material Gradations'!$M$4:$M$23,1,TRUE)</f>
        <v>0.65462481488122237</v>
      </c>
      <c r="BB50" s="110">
        <f>INDEX('Material Gradations'!$M$4:$M$23,MATCH(BA50,'Material Gradations'!$M$4:$M$23,0)+1,1)</f>
        <v>0.72369985190497987</v>
      </c>
      <c r="BC50" s="74">
        <f>INDEX('Material Gradations'!$K$4:$K$23,MATCH(Vs!BA50,'Material Gradations'!$M$4:$M$23,0),1)</f>
        <v>6.6871069977980768E-3</v>
      </c>
      <c r="BD50" s="74">
        <f>INDEX('Material Gradations'!$K$4:$K$23,MATCH(Vs!BB50,'Material Gradations'!$M$4:$M$23,0),1)</f>
        <v>3.2687262840439854E-3</v>
      </c>
      <c r="BE50" s="118">
        <f t="shared" si="53"/>
        <v>9.9999999999998979E-3</v>
      </c>
    </row>
    <row r="51" spans="1:57" x14ac:dyDescent="0.25">
      <c r="A51" s="136"/>
      <c r="B51" s="114">
        <v>0.7</v>
      </c>
      <c r="C51" s="21">
        <f t="shared" si="7"/>
        <v>4.4415829361938407E-3</v>
      </c>
      <c r="D51" s="32">
        <f t="shared" si="36"/>
        <v>3.7668744141220905E-5</v>
      </c>
      <c r="E51" s="112">
        <f t="shared" si="8"/>
        <v>0.81829214175256204</v>
      </c>
      <c r="F51" s="113">
        <f t="shared" si="9"/>
        <v>0.40914607087628102</v>
      </c>
      <c r="G51" s="75">
        <f t="shared" si="37"/>
        <v>0.59085392912371892</v>
      </c>
      <c r="V51" s="123">
        <f t="shared" si="38"/>
        <v>1.457212249407428E-5</v>
      </c>
      <c r="W51" s="26">
        <f t="shared" si="10"/>
        <v>3.7668744141220925E-5</v>
      </c>
      <c r="X51" s="32">
        <f t="shared" si="11"/>
        <v>3.2989228451617079E-5</v>
      </c>
      <c r="Y51" s="32">
        <f t="shared" si="12"/>
        <v>727510.19428050786</v>
      </c>
      <c r="Z51" s="122">
        <f t="shared" si="13"/>
        <v>3.7668744141220919E-5</v>
      </c>
      <c r="AA51" s="125">
        <f t="shared" si="14"/>
        <v>0</v>
      </c>
      <c r="AB51" s="26">
        <f t="shared" si="15"/>
        <v>3.7668744141220919E-5</v>
      </c>
      <c r="AC51" s="32">
        <f t="shared" si="16"/>
        <v>3.2989228451617072E-5</v>
      </c>
      <c r="AD51" s="32">
        <f t="shared" ref="AD51" si="79">IF($K$25="CD",IF(AC51&lt;0.1,24/AC51,IF(AC51&gt;1000,0.4,18.5/AC51^0.6)),24/AC51+3/SQRT(AC51)+0.34)</f>
        <v>727510.19428050809</v>
      </c>
      <c r="AE51" s="122">
        <f t="shared" si="18"/>
        <v>3.7668744141220912E-5</v>
      </c>
      <c r="AF51" s="125">
        <f t="shared" si="40"/>
        <v>0</v>
      </c>
      <c r="AG51" s="26">
        <f t="shared" si="41"/>
        <v>3.7668744141220912E-5</v>
      </c>
      <c r="AH51" s="32">
        <f t="shared" si="21"/>
        <v>3.2989228451617065E-5</v>
      </c>
      <c r="AI51" s="32">
        <f t="shared" ref="AI51" si="80">IF($K$25="CD",IF(AH51&lt;0.1,24/AH51,IF(AH51&gt;1000,0.4,18.5/AH51^0.6)),24/AH51+3/SQRT(AH51)+0.34)</f>
        <v>727510.19428050821</v>
      </c>
      <c r="AJ51" s="122">
        <f t="shared" si="22"/>
        <v>3.7668744141220905E-5</v>
      </c>
      <c r="AK51" s="125">
        <f t="shared" si="43"/>
        <v>0</v>
      </c>
      <c r="AL51" s="26">
        <f t="shared" si="44"/>
        <v>3.7668744141220905E-5</v>
      </c>
      <c r="AM51" s="32">
        <f t="shared" si="25"/>
        <v>3.2989228451617058E-5</v>
      </c>
      <c r="AN51" s="32">
        <f t="shared" ref="AN51" si="81">IF($K$25="CD",IF(AM51&lt;0.1,24/AM51,IF(AM51&gt;1000,0.4,18.5/AM51^0.6)),24/AM51+3/SQRT(AM51)+0.34)</f>
        <v>727510.19428050832</v>
      </c>
      <c r="AO51" s="122">
        <f t="shared" si="26"/>
        <v>3.7668744141220905E-5</v>
      </c>
      <c r="AP51" s="125">
        <f t="shared" si="46"/>
        <v>0</v>
      </c>
      <c r="AQ51" s="26">
        <f t="shared" si="47"/>
        <v>3.7668744141220905E-5</v>
      </c>
      <c r="AR51" s="32">
        <f t="shared" si="29"/>
        <v>3.2989228451617058E-5</v>
      </c>
      <c r="AS51" s="32">
        <f t="shared" ref="AS51" si="82">IF($K$25="CD",IF(AR51&lt;0.1,24/AR51,IF(AR51&gt;1000,0.4,18.5/AR51^0.6)),24/AR51+3/SQRT(AR51)+0.34)</f>
        <v>727510.19428050832</v>
      </c>
      <c r="AT51" s="122">
        <f t="shared" si="30"/>
        <v>3.7668744141220905E-5</v>
      </c>
      <c r="AU51" s="125">
        <f t="shared" si="49"/>
        <v>0</v>
      </c>
      <c r="AV51" s="26">
        <f t="shared" si="50"/>
        <v>3.7668744141220905E-5</v>
      </c>
      <c r="AW51" s="32">
        <f t="shared" si="33"/>
        <v>3.2989228451617058E-5</v>
      </c>
      <c r="AX51" s="123">
        <f t="shared" ref="AX51" si="83">IF($K$25="CD",IF(AW51&lt;0.1,24/AW51,IF(AW51&gt;1000,0.4,18.5/AW51^0.6)),24/AW51+3/SQRT(AW51)+0.34)</f>
        <v>727510.19428050832</v>
      </c>
      <c r="AY51" s="134">
        <f t="shared" si="34"/>
        <v>3.7668744141220905E-5</v>
      </c>
      <c r="AZ51" s="130">
        <f t="shared" si="52"/>
        <v>0</v>
      </c>
      <c r="BA51" s="110">
        <f>VLOOKUP(B51,'Material Gradations'!$M$4:$M$23,1,TRUE)</f>
        <v>0.65462481488122237</v>
      </c>
      <c r="BB51" s="110">
        <f>INDEX('Material Gradations'!$M$4:$M$23,MATCH(BA51,'Material Gradations'!$M$4:$M$23,0)+1,1)</f>
        <v>0.72369985190497987</v>
      </c>
      <c r="BC51" s="74">
        <f>INDEX('Material Gradations'!$K$4:$K$23,MATCH(Vs!BA51,'Material Gradations'!$M$4:$M$23,0),1)</f>
        <v>6.6871069977980768E-3</v>
      </c>
      <c r="BD51" s="74">
        <f>INDEX('Material Gradations'!$K$4:$K$23,MATCH(Vs!BB51,'Material Gradations'!$M$4:$M$23,0),1)</f>
        <v>3.2687262840439854E-3</v>
      </c>
      <c r="BE51" s="118">
        <f t="shared" si="53"/>
        <v>1.0000000000000009E-2</v>
      </c>
    </row>
    <row r="52" spans="1:57" x14ac:dyDescent="0.25">
      <c r="A52" s="136"/>
      <c r="B52" s="114">
        <v>0.71</v>
      </c>
      <c r="C52" s="21">
        <f t="shared" si="7"/>
        <v>3.9467036192883161E-3</v>
      </c>
      <c r="D52" s="32">
        <f t="shared" si="36"/>
        <v>2.9742304612923014E-5</v>
      </c>
      <c r="E52" s="112">
        <f t="shared" si="8"/>
        <v>0.64610314724384255</v>
      </c>
      <c r="F52" s="113">
        <f t="shared" si="9"/>
        <v>0.32305157362192127</v>
      </c>
      <c r="G52" s="75">
        <f t="shared" si="37"/>
        <v>0.67694842637807873</v>
      </c>
      <c r="V52" s="123">
        <f t="shared" si="38"/>
        <v>1.2948502687953794E-5</v>
      </c>
      <c r="W52" s="26">
        <f t="shared" si="10"/>
        <v>2.9742304612923018E-5</v>
      </c>
      <c r="X52" s="32">
        <f t="shared" si="11"/>
        <v>2.3145276449168708E-5</v>
      </c>
      <c r="Y52" s="32">
        <f t="shared" si="12"/>
        <v>1036928.6386666594</v>
      </c>
      <c r="Z52" s="122">
        <f t="shared" si="13"/>
        <v>2.9742304612923014E-5</v>
      </c>
      <c r="AA52" s="125">
        <f t="shared" si="14"/>
        <v>0</v>
      </c>
      <c r="AB52" s="26">
        <f t="shared" si="15"/>
        <v>2.9742304612923014E-5</v>
      </c>
      <c r="AC52" s="32">
        <f t="shared" si="16"/>
        <v>2.3145276449168708E-5</v>
      </c>
      <c r="AD52" s="32">
        <f t="shared" ref="AD52" si="84">IF($K$25="CD",IF(AC52&lt;0.1,24/AC52,IF(AC52&gt;1000,0.4,18.5/AC52^0.6)),24/AC52+3/SQRT(AC52)+0.34)</f>
        <v>1036928.6386666594</v>
      </c>
      <c r="AE52" s="122">
        <f t="shared" si="18"/>
        <v>2.9742304612923014E-5</v>
      </c>
      <c r="AF52" s="125">
        <f t="shared" si="40"/>
        <v>0</v>
      </c>
      <c r="AG52" s="26">
        <f t="shared" si="41"/>
        <v>2.9742304612923014E-5</v>
      </c>
      <c r="AH52" s="32">
        <f t="shared" si="21"/>
        <v>2.3145276449168708E-5</v>
      </c>
      <c r="AI52" s="32">
        <f t="shared" ref="AI52" si="85">IF($K$25="CD",IF(AH52&lt;0.1,24/AH52,IF(AH52&gt;1000,0.4,18.5/AH52^0.6)),24/AH52+3/SQRT(AH52)+0.34)</f>
        <v>1036928.6386666594</v>
      </c>
      <c r="AJ52" s="122">
        <f t="shared" si="22"/>
        <v>2.9742304612923014E-5</v>
      </c>
      <c r="AK52" s="125">
        <f t="shared" si="43"/>
        <v>0</v>
      </c>
      <c r="AL52" s="26">
        <f t="shared" si="44"/>
        <v>2.9742304612923014E-5</v>
      </c>
      <c r="AM52" s="32">
        <f t="shared" si="25"/>
        <v>2.3145276449168708E-5</v>
      </c>
      <c r="AN52" s="32">
        <f t="shared" ref="AN52" si="86">IF($K$25="CD",IF(AM52&lt;0.1,24/AM52,IF(AM52&gt;1000,0.4,18.5/AM52^0.6)),24/AM52+3/SQRT(AM52)+0.34)</f>
        <v>1036928.6386666594</v>
      </c>
      <c r="AO52" s="122">
        <f t="shared" si="26"/>
        <v>2.9742304612923014E-5</v>
      </c>
      <c r="AP52" s="125">
        <f t="shared" si="46"/>
        <v>0</v>
      </c>
      <c r="AQ52" s="26">
        <f t="shared" si="47"/>
        <v>2.9742304612923014E-5</v>
      </c>
      <c r="AR52" s="32">
        <f t="shared" si="29"/>
        <v>2.3145276449168708E-5</v>
      </c>
      <c r="AS52" s="32">
        <f t="shared" ref="AS52" si="87">IF($K$25="CD",IF(AR52&lt;0.1,24/AR52,IF(AR52&gt;1000,0.4,18.5/AR52^0.6)),24/AR52+3/SQRT(AR52)+0.34)</f>
        <v>1036928.6386666594</v>
      </c>
      <c r="AT52" s="122">
        <f t="shared" si="30"/>
        <v>2.9742304612923014E-5</v>
      </c>
      <c r="AU52" s="125">
        <f t="shared" si="49"/>
        <v>0</v>
      </c>
      <c r="AV52" s="26">
        <f t="shared" si="50"/>
        <v>2.9742304612923014E-5</v>
      </c>
      <c r="AW52" s="32">
        <f t="shared" si="33"/>
        <v>2.3145276449168708E-5</v>
      </c>
      <c r="AX52" s="123">
        <f t="shared" ref="AX52" si="88">IF($K$25="CD",IF(AW52&lt;0.1,24/AW52,IF(AW52&gt;1000,0.4,18.5/AW52^0.6)),24/AW52+3/SQRT(AW52)+0.34)</f>
        <v>1036928.6386666594</v>
      </c>
      <c r="AY52" s="134">
        <f t="shared" si="34"/>
        <v>2.9742304612923014E-5</v>
      </c>
      <c r="AZ52" s="130">
        <f t="shared" si="52"/>
        <v>0</v>
      </c>
      <c r="BA52" s="110">
        <f>VLOOKUP(B52,'Material Gradations'!$M$4:$M$23,1,TRUE)</f>
        <v>0.65462481488122237</v>
      </c>
      <c r="BB52" s="110">
        <f>INDEX('Material Gradations'!$M$4:$M$23,MATCH(BA52,'Material Gradations'!$M$4:$M$23,0)+1,1)</f>
        <v>0.72369985190497987</v>
      </c>
      <c r="BC52" s="74">
        <f>INDEX('Material Gradations'!$K$4:$K$23,MATCH(Vs!BA52,'Material Gradations'!$M$4:$M$23,0),1)</f>
        <v>6.6871069977980768E-3</v>
      </c>
      <c r="BD52" s="74">
        <f>INDEX('Material Gradations'!$K$4:$K$23,MATCH(Vs!BB52,'Material Gradations'!$M$4:$M$23,0),1)</f>
        <v>3.2687262840439854E-3</v>
      </c>
      <c r="BE52" s="118">
        <f t="shared" si="53"/>
        <v>1.0000000000000009E-2</v>
      </c>
    </row>
    <row r="53" spans="1:57" x14ac:dyDescent="0.25">
      <c r="A53" s="136"/>
      <c r="B53" s="114">
        <v>0.72</v>
      </c>
      <c r="C53" s="21">
        <f t="shared" si="7"/>
        <v>3.4518243023827912E-3</v>
      </c>
      <c r="D53" s="32">
        <f t="shared" si="36"/>
        <v>2.2751129027579788E-5</v>
      </c>
      <c r="E53" s="112">
        <f t="shared" si="8"/>
        <v>0.4942312392861139</v>
      </c>
      <c r="F53" s="113">
        <f t="shared" si="9"/>
        <v>0.24711561964305695</v>
      </c>
      <c r="G53" s="75">
        <f t="shared" si="37"/>
        <v>0.75288438035694305</v>
      </c>
      <c r="V53" s="123">
        <f t="shared" si="38"/>
        <v>1.1324882881833304E-5</v>
      </c>
      <c r="W53" s="26">
        <f t="shared" si="10"/>
        <v>2.2751129027579792E-5</v>
      </c>
      <c r="X53" s="32">
        <f t="shared" si="11"/>
        <v>1.5484774195589503E-5</v>
      </c>
      <c r="Y53" s="32">
        <f t="shared" si="12"/>
        <v>1549909.588403031</v>
      </c>
      <c r="Z53" s="122">
        <f t="shared" si="13"/>
        <v>2.2751129027579788E-5</v>
      </c>
      <c r="AA53" s="125">
        <f t="shared" si="14"/>
        <v>0</v>
      </c>
      <c r="AB53" s="26">
        <f t="shared" si="15"/>
        <v>2.2751129027579788E-5</v>
      </c>
      <c r="AC53" s="32">
        <f t="shared" si="16"/>
        <v>1.5484774195589503E-5</v>
      </c>
      <c r="AD53" s="32">
        <f t="shared" ref="AD53" si="89">IF($K$25="CD",IF(AC53&lt;0.1,24/AC53,IF(AC53&gt;1000,0.4,18.5/AC53^0.6)),24/AC53+3/SQRT(AC53)+0.34)</f>
        <v>1549909.588403031</v>
      </c>
      <c r="AE53" s="122">
        <f t="shared" si="18"/>
        <v>2.2751129027579788E-5</v>
      </c>
      <c r="AF53" s="125">
        <f t="shared" si="40"/>
        <v>0</v>
      </c>
      <c r="AG53" s="26">
        <f t="shared" si="41"/>
        <v>2.2751129027579788E-5</v>
      </c>
      <c r="AH53" s="32">
        <f t="shared" si="21"/>
        <v>1.5484774195589503E-5</v>
      </c>
      <c r="AI53" s="32">
        <f t="shared" ref="AI53" si="90">IF($K$25="CD",IF(AH53&lt;0.1,24/AH53,IF(AH53&gt;1000,0.4,18.5/AH53^0.6)),24/AH53+3/SQRT(AH53)+0.34)</f>
        <v>1549909.588403031</v>
      </c>
      <c r="AJ53" s="122">
        <f t="shared" si="22"/>
        <v>2.2751129027579788E-5</v>
      </c>
      <c r="AK53" s="125">
        <f t="shared" si="43"/>
        <v>0</v>
      </c>
      <c r="AL53" s="26">
        <f t="shared" si="44"/>
        <v>2.2751129027579788E-5</v>
      </c>
      <c r="AM53" s="32">
        <f t="shared" si="25"/>
        <v>1.5484774195589503E-5</v>
      </c>
      <c r="AN53" s="32">
        <f t="shared" ref="AN53" si="91">IF($K$25="CD",IF(AM53&lt;0.1,24/AM53,IF(AM53&gt;1000,0.4,18.5/AM53^0.6)),24/AM53+3/SQRT(AM53)+0.34)</f>
        <v>1549909.588403031</v>
      </c>
      <c r="AO53" s="122">
        <f t="shared" si="26"/>
        <v>2.2751129027579788E-5</v>
      </c>
      <c r="AP53" s="125">
        <f t="shared" si="46"/>
        <v>0</v>
      </c>
      <c r="AQ53" s="26">
        <f t="shared" si="47"/>
        <v>2.2751129027579788E-5</v>
      </c>
      <c r="AR53" s="32">
        <f t="shared" si="29"/>
        <v>1.5484774195589503E-5</v>
      </c>
      <c r="AS53" s="32">
        <f t="shared" ref="AS53" si="92">IF($K$25="CD",IF(AR53&lt;0.1,24/AR53,IF(AR53&gt;1000,0.4,18.5/AR53^0.6)),24/AR53+3/SQRT(AR53)+0.34)</f>
        <v>1549909.588403031</v>
      </c>
      <c r="AT53" s="122">
        <f t="shared" si="30"/>
        <v>2.2751129027579788E-5</v>
      </c>
      <c r="AU53" s="125">
        <f t="shared" si="49"/>
        <v>0</v>
      </c>
      <c r="AV53" s="26">
        <f t="shared" si="50"/>
        <v>2.2751129027579788E-5</v>
      </c>
      <c r="AW53" s="32">
        <f t="shared" si="33"/>
        <v>1.5484774195589503E-5</v>
      </c>
      <c r="AX53" s="123">
        <f t="shared" ref="AX53" si="93">IF($K$25="CD",IF(AW53&lt;0.1,24/AW53,IF(AW53&gt;1000,0.4,18.5/AW53^0.6)),24/AW53+3/SQRT(AW53)+0.34)</f>
        <v>1549909.588403031</v>
      </c>
      <c r="AY53" s="134">
        <f t="shared" si="34"/>
        <v>2.2751129027579788E-5</v>
      </c>
      <c r="AZ53" s="130">
        <f t="shared" si="52"/>
        <v>0</v>
      </c>
      <c r="BA53" s="110">
        <f>VLOOKUP(B53,'Material Gradations'!$M$4:$M$23,1,TRUE)</f>
        <v>0.65462481488122237</v>
      </c>
      <c r="BB53" s="110">
        <f>INDEX('Material Gradations'!$M$4:$M$23,MATCH(BA53,'Material Gradations'!$M$4:$M$23,0)+1,1)</f>
        <v>0.72369985190497987</v>
      </c>
      <c r="BC53" s="74">
        <f>INDEX('Material Gradations'!$K$4:$K$23,MATCH(Vs!BA53,'Material Gradations'!$M$4:$M$23,0),1)</f>
        <v>6.6871069977980768E-3</v>
      </c>
      <c r="BD53" s="74">
        <f>INDEX('Material Gradations'!$K$4:$K$23,MATCH(Vs!BB53,'Material Gradations'!$M$4:$M$23,0),1)</f>
        <v>3.2687262840439854E-3</v>
      </c>
      <c r="BE53" s="118">
        <f t="shared" si="53"/>
        <v>1.0000000000000009E-2</v>
      </c>
    </row>
    <row r="54" spans="1:57" ht="15.75" thickBot="1" x14ac:dyDescent="0.3">
      <c r="A54" s="136"/>
      <c r="B54" s="115">
        <f>C40-(C40-B53)*0.1</f>
        <v>0.74405237782160605</v>
      </c>
      <c r="C54" s="21">
        <f t="shared" si="7"/>
        <v>1.5955068713611889E-3</v>
      </c>
      <c r="D54" s="32">
        <f t="shared" si="36"/>
        <v>4.8607462206040169E-6</v>
      </c>
      <c r="E54" s="112">
        <f t="shared" si="8"/>
        <v>0.1055917983477751</v>
      </c>
      <c r="F54" s="113">
        <f t="shared" si="9"/>
        <v>5.279589917388755E-2</v>
      </c>
      <c r="G54" s="75">
        <f t="shared" si="37"/>
        <v>0.94720410082611251</v>
      </c>
      <c r="V54" s="123">
        <f t="shared" si="38"/>
        <v>5.2346025963293598E-6</v>
      </c>
      <c r="W54" s="27">
        <f t="shared" si="10"/>
        <v>4.8607462206040178E-6</v>
      </c>
      <c r="X54" s="33">
        <f t="shared" si="11"/>
        <v>1.5291668242179526E-6</v>
      </c>
      <c r="Y54" s="33">
        <f t="shared" si="12"/>
        <v>15694821.271233171</v>
      </c>
      <c r="Z54" s="124">
        <f t="shared" si="13"/>
        <v>4.8607462206040169E-6</v>
      </c>
      <c r="AA54" s="126">
        <f t="shared" si="14"/>
        <v>0</v>
      </c>
      <c r="AB54" s="27">
        <f t="shared" si="15"/>
        <v>4.8607462206040169E-6</v>
      </c>
      <c r="AC54" s="33">
        <f t="shared" si="16"/>
        <v>1.5291668242179522E-6</v>
      </c>
      <c r="AD54" s="33">
        <f t="shared" ref="AD54" si="94">IF($K$25="CD",IF(AC54&lt;0.1,24/AC54,IF(AC54&gt;1000,0.4,18.5/AC54^0.6)),24/AC54+3/SQRT(AC54)+0.34)</f>
        <v>15694821.271233177</v>
      </c>
      <c r="AE54" s="124">
        <f t="shared" si="18"/>
        <v>4.8607462206040169E-6</v>
      </c>
      <c r="AF54" s="126">
        <f t="shared" si="40"/>
        <v>0</v>
      </c>
      <c r="AG54" s="27">
        <f t="shared" si="41"/>
        <v>4.8607462206040169E-6</v>
      </c>
      <c r="AH54" s="33">
        <f t="shared" si="21"/>
        <v>1.5291668242179522E-6</v>
      </c>
      <c r="AI54" s="33">
        <f t="shared" ref="AI54" si="95">IF($K$25="CD",IF(AH54&lt;0.1,24/AH54,IF(AH54&gt;1000,0.4,18.5/AH54^0.6)),24/AH54+3/SQRT(AH54)+0.34)</f>
        <v>15694821.271233177</v>
      </c>
      <c r="AJ54" s="124">
        <f t="shared" si="22"/>
        <v>4.8607462206040169E-6</v>
      </c>
      <c r="AK54" s="126">
        <f t="shared" si="43"/>
        <v>0</v>
      </c>
      <c r="AL54" s="27">
        <f t="shared" si="44"/>
        <v>4.8607462206040169E-6</v>
      </c>
      <c r="AM54" s="33">
        <f t="shared" si="25"/>
        <v>1.5291668242179522E-6</v>
      </c>
      <c r="AN54" s="33">
        <f t="shared" ref="AN54" si="96">IF($K$25="CD",IF(AM54&lt;0.1,24/AM54,IF(AM54&gt;1000,0.4,18.5/AM54^0.6)),24/AM54+3/SQRT(AM54)+0.34)</f>
        <v>15694821.271233177</v>
      </c>
      <c r="AO54" s="124">
        <f t="shared" si="26"/>
        <v>4.8607462206040169E-6</v>
      </c>
      <c r="AP54" s="126">
        <f t="shared" si="46"/>
        <v>0</v>
      </c>
      <c r="AQ54" s="27">
        <f t="shared" si="47"/>
        <v>4.8607462206040169E-6</v>
      </c>
      <c r="AR54" s="33">
        <f t="shared" si="29"/>
        <v>1.5291668242179522E-6</v>
      </c>
      <c r="AS54" s="33">
        <f t="shared" ref="AS54" si="97">IF($K$25="CD",IF(AR54&lt;0.1,24/AR54,IF(AR54&gt;1000,0.4,18.5/AR54^0.6)),24/AR54+3/SQRT(AR54)+0.34)</f>
        <v>15694821.271233177</v>
      </c>
      <c r="AT54" s="124">
        <f t="shared" si="30"/>
        <v>4.8607462206040169E-6</v>
      </c>
      <c r="AU54" s="126">
        <f t="shared" si="49"/>
        <v>0</v>
      </c>
      <c r="AV54" s="27">
        <f t="shared" si="50"/>
        <v>4.8607462206040169E-6</v>
      </c>
      <c r="AW54" s="33">
        <f t="shared" si="33"/>
        <v>1.5291668242179522E-6</v>
      </c>
      <c r="AX54" s="129">
        <f t="shared" ref="AX54" si="98">IF($K$25="CD",IF(AW54&lt;0.1,24/AW54,IF(AW54&gt;1000,0.4,18.5/AW54^0.6)),24/AW54+3/SQRT(AW54)+0.34)</f>
        <v>15694821.271233177</v>
      </c>
      <c r="AY54" s="135">
        <f t="shared" si="34"/>
        <v>4.8607462206040169E-6</v>
      </c>
      <c r="AZ54" s="131">
        <f t="shared" si="52"/>
        <v>0</v>
      </c>
      <c r="BA54" s="110">
        <f>VLOOKUP(B54,'Material Gradations'!$M$4:$M$23,1,TRUE)</f>
        <v>0.72369985190497987</v>
      </c>
      <c r="BB54" s="110">
        <f>INDEX('Material Gradations'!$M$4:$M$23,MATCH(BA54,'Material Gradations'!$M$4:$M$23,0)+1,1)</f>
        <v>0.74672486424622897</v>
      </c>
      <c r="BC54" s="74">
        <f>INDEX('Material Gradations'!$K$4:$K$23,MATCH(Vs!BA54,'Material Gradations'!$M$4:$M$23,0),1)</f>
        <v>3.2687262840439854E-3</v>
      </c>
      <c r="BD54" s="74">
        <f>INDEX('Material Gradations'!$K$4:$K$23,MATCH(Vs!BB54,'Material Gradations'!$M$4:$M$23,0),1)</f>
        <v>1.3757967388632185E-3</v>
      </c>
      <c r="BE54" s="118">
        <f t="shared" si="53"/>
        <v>2.4052377821606075E-2</v>
      </c>
    </row>
    <row r="55" spans="1:57" x14ac:dyDescent="0.25">
      <c r="B55" s="116">
        <v>1</v>
      </c>
      <c r="C55" s="74"/>
      <c r="D55" s="111"/>
      <c r="E55" s="111"/>
      <c r="F55" s="117">
        <v>0</v>
      </c>
      <c r="G55" s="117">
        <v>1</v>
      </c>
      <c r="BA55" s="74"/>
      <c r="BB55" s="74"/>
      <c r="BC55" s="111"/>
      <c r="BD55" s="111"/>
      <c r="BE55" s="118">
        <f t="shared" si="53"/>
        <v>0.25594762217839395</v>
      </c>
    </row>
    <row r="56" spans="1:57" ht="15.75" thickBot="1" x14ac:dyDescent="0.3">
      <c r="B56" s="147" t="s">
        <v>140</v>
      </c>
      <c r="C56" s="147"/>
      <c r="D56" s="147"/>
      <c r="E56" s="100">
        <f>SUMPRODUCT(F43:F55,BE43:BE55)</f>
        <v>0.68783457609925791</v>
      </c>
    </row>
    <row r="57" spans="1:57" x14ac:dyDescent="0.25">
      <c r="B57" s="147" t="s">
        <v>142</v>
      </c>
      <c r="C57" s="147"/>
      <c r="D57" s="147"/>
      <c r="E57" s="99">
        <f>SUMPRODUCT(G43:G55,BE43:BE55)</f>
        <v>0.31216542390074214</v>
      </c>
    </row>
    <row r="59" spans="1:57" x14ac:dyDescent="0.25">
      <c r="A59" s="149" t="s">
        <v>43</v>
      </c>
      <c r="B59" s="149"/>
      <c r="C59" s="149"/>
      <c r="D59" s="149"/>
      <c r="E59" s="149"/>
      <c r="F59" s="149"/>
      <c r="G59" s="149"/>
      <c r="H59" s="149"/>
    </row>
    <row r="60" spans="1:57" x14ac:dyDescent="0.25">
      <c r="B60" s="23" t="s">
        <v>103</v>
      </c>
      <c r="C60" s="53">
        <v>80</v>
      </c>
      <c r="D60" s="3" t="s">
        <v>105</v>
      </c>
      <c r="E60" s="24" t="s">
        <v>104</v>
      </c>
    </row>
    <row r="61" spans="1:57" x14ac:dyDescent="0.25">
      <c r="A61" s="1" t="s">
        <v>103</v>
      </c>
      <c r="B61" s="23" t="s">
        <v>103</v>
      </c>
      <c r="C61" s="87">
        <f>C60/448.83</f>
        <v>0.17824120491054521</v>
      </c>
      <c r="D61" s="3" t="s">
        <v>106</v>
      </c>
      <c r="E61" s="24"/>
    </row>
    <row r="62" spans="1:57" ht="18" x14ac:dyDescent="0.35">
      <c r="A62" s="1" t="s">
        <v>90</v>
      </c>
      <c r="B62" s="23" t="s">
        <v>99</v>
      </c>
      <c r="C62" s="85">
        <f>L40</f>
        <v>9.3562468049370443E-5</v>
      </c>
      <c r="D62" s="3" t="s">
        <v>16</v>
      </c>
      <c r="E62" s="24" t="s">
        <v>92</v>
      </c>
      <c r="G62" s="163" t="str">
        <f>IF(C62&gt;L40,"Overflow Rate should be less than Terminal Settling Velocity","")</f>
        <v/>
      </c>
      <c r="H62" s="163"/>
      <c r="I62" s="163"/>
      <c r="J62" s="163"/>
      <c r="K62" s="163"/>
      <c r="L62" s="163"/>
    </row>
    <row r="63" spans="1:57" ht="18.75" x14ac:dyDescent="0.35">
      <c r="A63" s="1" t="s">
        <v>96</v>
      </c>
      <c r="B63" s="23" t="s">
        <v>100</v>
      </c>
      <c r="C63" s="90">
        <f>Q/v0</f>
        <v>1905.0502688374149</v>
      </c>
      <c r="D63" s="3" t="s">
        <v>107</v>
      </c>
      <c r="E63" s="24" t="s">
        <v>101</v>
      </c>
    </row>
    <row r="64" spans="1:57" x14ac:dyDescent="0.25">
      <c r="A64" s="1" t="s">
        <v>97</v>
      </c>
      <c r="B64" s="23" t="s">
        <v>97</v>
      </c>
      <c r="C64" s="53">
        <v>88</v>
      </c>
      <c r="D64" s="3" t="s">
        <v>17</v>
      </c>
      <c r="E64" s="24" t="s">
        <v>125</v>
      </c>
    </row>
    <row r="65" spans="1:24" x14ac:dyDescent="0.25">
      <c r="A65" s="1" t="s">
        <v>98</v>
      </c>
      <c r="B65" s="23" t="s">
        <v>98</v>
      </c>
      <c r="C65" s="53">
        <v>22</v>
      </c>
      <c r="D65" s="3" t="s">
        <v>17</v>
      </c>
      <c r="E65" s="24" t="s">
        <v>126</v>
      </c>
    </row>
    <row r="66" spans="1:24" ht="17.25" x14ac:dyDescent="0.25">
      <c r="A66" s="1" t="s">
        <v>93</v>
      </c>
      <c r="B66" s="23" t="s">
        <v>93</v>
      </c>
      <c r="C66" s="92">
        <f>L*W</f>
        <v>1936</v>
      </c>
      <c r="D66" s="3" t="s">
        <v>107</v>
      </c>
      <c r="E66" s="24" t="s">
        <v>102</v>
      </c>
      <c r="G66" s="163" t="str">
        <f>IF(A&lt;Amin,"Area must be Greater Than Amin","")</f>
        <v/>
      </c>
      <c r="H66" s="163"/>
      <c r="I66" s="163"/>
      <c r="J66" s="163"/>
      <c r="K66" s="163"/>
      <c r="L66" s="163"/>
    </row>
    <row r="67" spans="1:24" x14ac:dyDescent="0.25">
      <c r="A67" s="1" t="s">
        <v>108</v>
      </c>
      <c r="B67" s="23" t="s">
        <v>108</v>
      </c>
      <c r="C67" s="93">
        <v>2</v>
      </c>
      <c r="D67" s="3" t="s">
        <v>17</v>
      </c>
      <c r="E67" s="24" t="s">
        <v>127</v>
      </c>
    </row>
    <row r="68" spans="1:24" ht="18" x14ac:dyDescent="0.35">
      <c r="A68" s="1" t="s">
        <v>114</v>
      </c>
      <c r="B68" s="23" t="s">
        <v>128</v>
      </c>
      <c r="C68" s="95">
        <f>Q/(W*D)</f>
        <v>4.0509364752396642E-3</v>
      </c>
      <c r="D68" s="3" t="s">
        <v>16</v>
      </c>
      <c r="E68" s="24" t="s">
        <v>115</v>
      </c>
    </row>
    <row r="69" spans="1:24" ht="18" x14ac:dyDescent="0.35">
      <c r="A69" s="1" t="s">
        <v>124</v>
      </c>
      <c r="B69" s="23" t="s">
        <v>129</v>
      </c>
      <c r="C69" s="89">
        <f>L/vx</f>
        <v>21723.371999999996</v>
      </c>
      <c r="D69" s="3" t="s">
        <v>116</v>
      </c>
      <c r="E69" s="24" t="s">
        <v>131</v>
      </c>
    </row>
    <row r="70" spans="1:24" x14ac:dyDescent="0.25">
      <c r="A70" s="1" t="s">
        <v>120</v>
      </c>
      <c r="B70" s="23" t="s">
        <v>120</v>
      </c>
      <c r="C70" s="87">
        <f>IF(A&lt;Amin,0,MIN(tone*L40,D))</f>
        <v>2</v>
      </c>
      <c r="D70" s="3" t="s">
        <v>17</v>
      </c>
      <c r="E70" s="24" t="s">
        <v>113</v>
      </c>
    </row>
    <row r="71" spans="1:24" ht="18" x14ac:dyDescent="0.35">
      <c r="A71" s="1" t="s">
        <v>123</v>
      </c>
      <c r="B71" s="23" t="s">
        <v>130</v>
      </c>
      <c r="C71" s="89">
        <f>IF(dy=D,D/L40,"N/A")</f>
        <v>21376.092804057422</v>
      </c>
      <c r="D71" s="3" t="s">
        <v>116</v>
      </c>
      <c r="E71" s="24" t="s">
        <v>118</v>
      </c>
    </row>
    <row r="72" spans="1:24" x14ac:dyDescent="0.25">
      <c r="A72" s="1" t="s">
        <v>119</v>
      </c>
      <c r="B72" s="23" t="s">
        <v>119</v>
      </c>
      <c r="C72" s="87">
        <f>IF(dist="N/A",L,vx*dist)</f>
        <v>86.593194038064325</v>
      </c>
      <c r="D72" s="3" t="s">
        <v>17</v>
      </c>
      <c r="E72" s="24" t="s">
        <v>117</v>
      </c>
    </row>
    <row r="73" spans="1:24" x14ac:dyDescent="0.25">
      <c r="V73" s="76"/>
      <c r="W73" s="5" t="s">
        <v>81</v>
      </c>
      <c r="X73" s="5" t="s">
        <v>82</v>
      </c>
    </row>
    <row r="74" spans="1:24" x14ac:dyDescent="0.25">
      <c r="U74" s="94" t="s">
        <v>109</v>
      </c>
      <c r="V74" s="94" t="s">
        <v>111</v>
      </c>
      <c r="W74" s="5">
        <v>0.1</v>
      </c>
      <c r="X74" s="5">
        <v>0.1</v>
      </c>
    </row>
    <row r="75" spans="1:24" x14ac:dyDescent="0.25">
      <c r="U75" s="94" t="s">
        <v>109</v>
      </c>
      <c r="V75" s="94" t="s">
        <v>110</v>
      </c>
      <c r="W75" s="5">
        <v>0.1</v>
      </c>
      <c r="X75" s="5">
        <f>D</f>
        <v>2</v>
      </c>
    </row>
    <row r="76" spans="1:24" x14ac:dyDescent="0.25">
      <c r="U76" s="94" t="s">
        <v>112</v>
      </c>
      <c r="V76" s="94" t="s">
        <v>111</v>
      </c>
      <c r="W76" s="5">
        <f>L</f>
        <v>88</v>
      </c>
      <c r="X76" s="5">
        <v>0.1</v>
      </c>
    </row>
    <row r="77" spans="1:24" x14ac:dyDescent="0.25">
      <c r="U77" s="94" t="s">
        <v>112</v>
      </c>
      <c r="V77" s="94" t="s">
        <v>110</v>
      </c>
      <c r="W77" s="5">
        <f>W76</f>
        <v>88</v>
      </c>
      <c r="X77" s="5">
        <f>X75</f>
        <v>2</v>
      </c>
    </row>
    <row r="78" spans="1:24" x14ac:dyDescent="0.25">
      <c r="U78" s="94" t="s">
        <v>110</v>
      </c>
      <c r="V78" s="94" t="s">
        <v>109</v>
      </c>
      <c r="W78" s="5">
        <v>0.1</v>
      </c>
      <c r="X78" s="5">
        <f>X75</f>
        <v>2</v>
      </c>
    </row>
    <row r="79" spans="1:24" x14ac:dyDescent="0.25">
      <c r="U79" s="94" t="s">
        <v>110</v>
      </c>
      <c r="V79" s="94" t="s">
        <v>112</v>
      </c>
      <c r="W79" s="5">
        <f>W77</f>
        <v>88</v>
      </c>
      <c r="X79" s="5">
        <f>X78</f>
        <v>2</v>
      </c>
    </row>
    <row r="80" spans="1:24" x14ac:dyDescent="0.25">
      <c r="U80" s="94" t="s">
        <v>111</v>
      </c>
      <c r="V80" s="94" t="s">
        <v>109</v>
      </c>
      <c r="W80" s="5">
        <v>0.1</v>
      </c>
      <c r="X80" s="5">
        <v>0.1</v>
      </c>
    </row>
    <row r="81" spans="1:24" x14ac:dyDescent="0.25">
      <c r="U81" s="94" t="s">
        <v>111</v>
      </c>
      <c r="V81" s="94" t="s">
        <v>112</v>
      </c>
      <c r="W81" s="5">
        <f>W79</f>
        <v>88</v>
      </c>
      <c r="X81" s="5">
        <v>0.1</v>
      </c>
    </row>
    <row r="83" spans="1:24" x14ac:dyDescent="0.25">
      <c r="A83" s="149" t="s">
        <v>156</v>
      </c>
      <c r="B83" s="149"/>
      <c r="C83" s="149"/>
      <c r="D83" s="149"/>
      <c r="E83" s="149"/>
      <c r="F83" s="149"/>
      <c r="G83" s="149"/>
      <c r="H83" s="149"/>
      <c r="V83" s="76"/>
      <c r="W83" s="5" t="s">
        <v>81</v>
      </c>
      <c r="X83" s="5" t="s">
        <v>82</v>
      </c>
    </row>
    <row r="84" spans="1:24" x14ac:dyDescent="0.25">
      <c r="A84" s="147" t="s">
        <v>157</v>
      </c>
      <c r="B84" s="147"/>
      <c r="C84" s="1">
        <f>C60</f>
        <v>80</v>
      </c>
      <c r="D84" s="3" t="s">
        <v>105</v>
      </c>
      <c r="V84" s="96" t="s">
        <v>121</v>
      </c>
      <c r="W84" s="97">
        <v>0.1</v>
      </c>
      <c r="X84" s="97">
        <f>D</f>
        <v>2</v>
      </c>
    </row>
    <row r="85" spans="1:24" x14ac:dyDescent="0.25">
      <c r="A85" s="147" t="s">
        <v>161</v>
      </c>
      <c r="B85" s="150"/>
      <c r="C85" s="138">
        <v>16</v>
      </c>
      <c r="D85" s="3" t="s">
        <v>163</v>
      </c>
      <c r="I85" s="137"/>
      <c r="J85" s="137"/>
      <c r="K85" s="137"/>
      <c r="V85" s="96"/>
      <c r="W85" s="97"/>
      <c r="X85" s="97"/>
    </row>
    <row r="86" spans="1:24" x14ac:dyDescent="0.25">
      <c r="A86" s="147" t="s">
        <v>174</v>
      </c>
      <c r="B86" s="147"/>
      <c r="C86" s="140">
        <f>C84*60*C85</f>
        <v>76800</v>
      </c>
      <c r="D86" s="3" t="s">
        <v>162</v>
      </c>
      <c r="I86" s="137"/>
      <c r="J86" s="137"/>
      <c r="K86" s="137"/>
      <c r="V86" s="96"/>
      <c r="W86" s="97"/>
      <c r="X86" s="97"/>
    </row>
    <row r="87" spans="1:24" x14ac:dyDescent="0.25">
      <c r="A87" s="147" t="s">
        <v>161</v>
      </c>
      <c r="B87" s="150"/>
      <c r="C87" s="138">
        <v>7</v>
      </c>
      <c r="D87" s="3" t="s">
        <v>164</v>
      </c>
      <c r="V87" s="96" t="s">
        <v>122</v>
      </c>
      <c r="W87" s="97">
        <f>C72</f>
        <v>86.593194038064325</v>
      </c>
      <c r="X87" s="97">
        <f>D-dy+0.1</f>
        <v>0.1</v>
      </c>
    </row>
    <row r="88" spans="1:24" x14ac:dyDescent="0.25">
      <c r="A88" s="147" t="s">
        <v>159</v>
      </c>
      <c r="B88" s="147"/>
      <c r="C88" s="139">
        <f>C86*C87</f>
        <v>537600</v>
      </c>
      <c r="D88" s="3" t="s">
        <v>160</v>
      </c>
    </row>
    <row r="89" spans="1:24" x14ac:dyDescent="0.25">
      <c r="A89" s="147" t="s">
        <v>169</v>
      </c>
      <c r="B89" s="147"/>
      <c r="C89" s="141">
        <v>9.1E-4</v>
      </c>
      <c r="D89" s="3" t="s">
        <v>175</v>
      </c>
    </row>
    <row r="90" spans="1:24" x14ac:dyDescent="0.25">
      <c r="A90" s="147" t="s">
        <v>170</v>
      </c>
      <c r="B90" s="147"/>
      <c r="C90" s="141">
        <v>2.3900000000000002E-3</v>
      </c>
      <c r="D90" s="3" t="s">
        <v>175</v>
      </c>
    </row>
    <row r="91" spans="1:24" x14ac:dyDescent="0.25">
      <c r="A91" s="147" t="s">
        <v>177</v>
      </c>
      <c r="B91" s="147"/>
      <c r="C91" s="144">
        <f>105/62.4</f>
        <v>1.6826923076923077</v>
      </c>
      <c r="D91" s="3" t="s">
        <v>179</v>
      </c>
      <c r="I91" s="137"/>
      <c r="J91" s="137"/>
      <c r="K91" s="137"/>
    </row>
    <row r="92" spans="1:24" x14ac:dyDescent="0.25">
      <c r="A92" s="147" t="s">
        <v>176</v>
      </c>
      <c r="B92" s="147"/>
      <c r="C92" s="144">
        <f>40/62.4</f>
        <v>0.64102564102564108</v>
      </c>
      <c r="D92" s="3" t="s">
        <v>179</v>
      </c>
      <c r="I92" s="137"/>
      <c r="J92" s="137"/>
      <c r="K92" s="137"/>
    </row>
    <row r="93" spans="1:24" x14ac:dyDescent="0.25">
      <c r="A93" s="147" t="s">
        <v>169</v>
      </c>
      <c r="B93" s="147"/>
      <c r="C93" s="141">
        <f>C89/C91</f>
        <v>5.4080000000000003E-4</v>
      </c>
      <c r="D93" s="3" t="s">
        <v>178</v>
      </c>
      <c r="I93" s="137"/>
      <c r="J93" s="137"/>
      <c r="K93" s="137"/>
    </row>
    <row r="94" spans="1:24" x14ac:dyDescent="0.25">
      <c r="A94" s="147" t="s">
        <v>170</v>
      </c>
      <c r="B94" s="147"/>
      <c r="C94" s="141">
        <f>C90/C92</f>
        <v>3.7284000000000002E-3</v>
      </c>
      <c r="D94" s="3" t="s">
        <v>178</v>
      </c>
      <c r="I94" s="137"/>
      <c r="J94" s="137"/>
      <c r="K94" s="137"/>
    </row>
    <row r="95" spans="1:24" ht="17.25" x14ac:dyDescent="0.25">
      <c r="A95" s="147" t="s">
        <v>167</v>
      </c>
      <c r="B95" s="147"/>
      <c r="C95" s="139">
        <f>C86/7.48052*C93</f>
        <v>5.5522129477629898</v>
      </c>
      <c r="D95" s="3" t="s">
        <v>166</v>
      </c>
    </row>
    <row r="96" spans="1:24" ht="17.25" x14ac:dyDescent="0.25">
      <c r="A96" s="147" t="s">
        <v>180</v>
      </c>
      <c r="B96" s="147"/>
      <c r="C96" s="139">
        <f>C86/7.48052*C94</f>
        <v>38.278237341789072</v>
      </c>
      <c r="D96" s="3" t="s">
        <v>166</v>
      </c>
      <c r="I96" s="137"/>
      <c r="J96" s="137"/>
      <c r="K96" s="137"/>
    </row>
    <row r="97" spans="1:4" ht="17.25" x14ac:dyDescent="0.25">
      <c r="A97" s="147" t="s">
        <v>165</v>
      </c>
      <c r="B97" s="147"/>
      <c r="C97" s="143">
        <f>C95*E56</f>
        <v>3.8190040393373672</v>
      </c>
      <c r="D97" s="3" t="s">
        <v>166</v>
      </c>
    </row>
    <row r="98" spans="1:4" x14ac:dyDescent="0.25">
      <c r="A98" s="147" t="s">
        <v>168</v>
      </c>
      <c r="B98" s="147"/>
      <c r="C98" s="142">
        <f>C97/A</f>
        <v>1.9726260533767391E-3</v>
      </c>
      <c r="D98" s="3" t="s">
        <v>171</v>
      </c>
    </row>
    <row r="99" spans="1:4" x14ac:dyDescent="0.25">
      <c r="A99" s="147" t="s">
        <v>172</v>
      </c>
      <c r="B99" s="147"/>
      <c r="C99" s="138">
        <v>14</v>
      </c>
      <c r="D99" s="3" t="s">
        <v>158</v>
      </c>
    </row>
    <row r="100" spans="1:4" x14ac:dyDescent="0.25">
      <c r="A100" s="148" t="s">
        <v>181</v>
      </c>
      <c r="B100" s="148"/>
      <c r="C100" s="87">
        <f>C98*C99*12</f>
        <v>0.33140117696729221</v>
      </c>
      <c r="D100" s="146" t="s">
        <v>173</v>
      </c>
    </row>
    <row r="101" spans="1:4" ht="17.25" x14ac:dyDescent="0.25">
      <c r="A101" s="147" t="s">
        <v>182</v>
      </c>
      <c r="B101" s="147"/>
      <c r="C101" s="145">
        <f>C96*C99</f>
        <v>535.89532278504703</v>
      </c>
      <c r="D101" s="3" t="s">
        <v>183</v>
      </c>
    </row>
    <row r="102" spans="1:4" x14ac:dyDescent="0.25">
      <c r="A102" s="148" t="s">
        <v>184</v>
      </c>
      <c r="B102" s="148"/>
      <c r="C102" s="87">
        <f>C101/A*12</f>
        <v>3.3216652238742581</v>
      </c>
      <c r="D102" s="146" t="s">
        <v>173</v>
      </c>
    </row>
  </sheetData>
  <sortState ref="F44:F52">
    <sortCondition descending="1" ref="F44:F52"/>
  </sortState>
  <mergeCells count="40">
    <mergeCell ref="G62:L62"/>
    <mergeCell ref="G66:L66"/>
    <mergeCell ref="B56:D56"/>
    <mergeCell ref="B57:D57"/>
    <mergeCell ref="A1:P1"/>
    <mergeCell ref="C3:D3"/>
    <mergeCell ref="Y2:AA2"/>
    <mergeCell ref="I40:K40"/>
    <mergeCell ref="A59:H59"/>
    <mergeCell ref="A18:P18"/>
    <mergeCell ref="A19:F19"/>
    <mergeCell ref="I19:P19"/>
    <mergeCell ref="I28:M28"/>
    <mergeCell ref="W41:AA41"/>
    <mergeCell ref="AG41:AK41"/>
    <mergeCell ref="AL41:AP41"/>
    <mergeCell ref="AQ41:AU41"/>
    <mergeCell ref="AV41:AZ41"/>
    <mergeCell ref="AC2:AE2"/>
    <mergeCell ref="AB41:AF41"/>
    <mergeCell ref="A83:H83"/>
    <mergeCell ref="A84:B84"/>
    <mergeCell ref="A85:B85"/>
    <mergeCell ref="A86:B86"/>
    <mergeCell ref="A87:B87"/>
    <mergeCell ref="A88:B88"/>
    <mergeCell ref="A89:B89"/>
    <mergeCell ref="A90:B90"/>
    <mergeCell ref="A95:B95"/>
    <mergeCell ref="A97:B97"/>
    <mergeCell ref="A91:B91"/>
    <mergeCell ref="A92:B92"/>
    <mergeCell ref="A93:B93"/>
    <mergeCell ref="A94:B94"/>
    <mergeCell ref="A96:B96"/>
    <mergeCell ref="A101:B101"/>
    <mergeCell ref="A102:B102"/>
    <mergeCell ref="A98:B98"/>
    <mergeCell ref="A99:B99"/>
    <mergeCell ref="A100:B100"/>
  </mergeCells>
  <conditionalFormatting sqref="C62">
    <cfRule type="cellIs" dxfId="3" priority="4" operator="greaterThan">
      <formula>$L$40</formula>
    </cfRule>
  </conditionalFormatting>
  <conditionalFormatting sqref="G62">
    <cfRule type="cellIs" dxfId="2" priority="3" operator="equal">
      <formula>"Overflow Rate should be less than Terminal Settling Velocity"</formula>
    </cfRule>
  </conditionalFormatting>
  <conditionalFormatting sqref="G66">
    <cfRule type="cellIs" dxfId="1" priority="2" operator="equal">
      <formula>"Overflow Rate should be less than Terminal Settling Velocity"</formula>
    </cfRule>
  </conditionalFormatting>
  <conditionalFormatting sqref="G66:L66">
    <cfRule type="cellIs" dxfId="0" priority="1" operator="equal">
      <formula>"Area must be Greater Than Amin"</formula>
    </cfRule>
  </conditionalFormatting>
  <dataValidations count="2">
    <dataValidation type="list" allowBlank="1" showInputMessage="1" showErrorMessage="1" sqref="K25">
      <formula1>"CD,Alternate CD"</formula1>
    </dataValidation>
    <dataValidation type="list" allowBlank="1" showInputMessage="1" showErrorMessage="1" sqref="C3:D3">
      <formula1>"Rock Trap, Pit"</formula1>
    </dataValidation>
  </dataValidations>
  <pageMargins left="0.7" right="0.7" top="0.75" bottom="0.75" header="0.3" footer="0.3"/>
  <pageSetup paperSize="3" scale="46" fitToHeight="0" orientation="landscape" r:id="rId1"/>
  <rowBreaks count="1" manualBreakCount="1">
    <brk id="38" max="17" man="1"/>
  </rowBreaks>
  <colBreaks count="2" manualBreakCount="2">
    <brk id="18" max="1048575" man="1"/>
    <brk id="2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15"/>
  <sheetViews>
    <sheetView workbookViewId="0">
      <selection activeCell="A40" sqref="A40"/>
    </sheetView>
  </sheetViews>
  <sheetFormatPr defaultRowHeight="15" x14ac:dyDescent="0.25"/>
  <cols>
    <col min="2" max="2" width="17.5703125" style="1" bestFit="1" customWidth="1"/>
    <col min="3" max="3" width="11" bestFit="1" customWidth="1"/>
  </cols>
  <sheetData>
    <row r="1" spans="1:3" x14ac:dyDescent="0.25">
      <c r="A1" t="s">
        <v>12</v>
      </c>
      <c r="B1" s="1" t="s">
        <v>13</v>
      </c>
    </row>
    <row r="2" spans="1:3" x14ac:dyDescent="0.25">
      <c r="A2">
        <v>32</v>
      </c>
      <c r="B2" s="1">
        <v>3.7320000000000002</v>
      </c>
      <c r="C2">
        <f>B2*10^(-5)</f>
        <v>3.7320000000000002E-5</v>
      </c>
    </row>
    <row r="3" spans="1:3" x14ac:dyDescent="0.25">
      <c r="A3">
        <v>40</v>
      </c>
      <c r="B3" s="1">
        <v>3.2280000000000002</v>
      </c>
      <c r="C3">
        <f t="shared" ref="C3:C15" si="0">B3*10^(-5)</f>
        <v>3.2280000000000003E-5</v>
      </c>
    </row>
    <row r="4" spans="1:3" x14ac:dyDescent="0.25">
      <c r="A4">
        <v>50</v>
      </c>
      <c r="B4" s="1">
        <v>2.73</v>
      </c>
      <c r="C4">
        <f t="shared" si="0"/>
        <v>2.7300000000000003E-5</v>
      </c>
    </row>
    <row r="5" spans="1:3" x14ac:dyDescent="0.25">
      <c r="A5">
        <v>60</v>
      </c>
      <c r="B5" s="1">
        <v>2.3439999999999999</v>
      </c>
      <c r="C5">
        <f t="shared" si="0"/>
        <v>2.3439999999999999E-5</v>
      </c>
    </row>
    <row r="6" spans="1:3" x14ac:dyDescent="0.25">
      <c r="A6">
        <v>70</v>
      </c>
      <c r="B6" s="1">
        <v>2.0339999999999998</v>
      </c>
      <c r="C6">
        <f t="shared" si="0"/>
        <v>2.0339999999999998E-5</v>
      </c>
    </row>
    <row r="7" spans="1:3" x14ac:dyDescent="0.25">
      <c r="A7">
        <v>80</v>
      </c>
      <c r="B7" s="1">
        <v>1.7909999999999999</v>
      </c>
      <c r="C7">
        <f t="shared" si="0"/>
        <v>1.791E-5</v>
      </c>
    </row>
    <row r="8" spans="1:3" x14ac:dyDescent="0.25">
      <c r="A8">
        <v>90</v>
      </c>
      <c r="B8" s="1">
        <v>1.5</v>
      </c>
      <c r="C8">
        <f t="shared" si="0"/>
        <v>1.5000000000000002E-5</v>
      </c>
    </row>
    <row r="9" spans="1:3" x14ac:dyDescent="0.25">
      <c r="A9">
        <v>100</v>
      </c>
      <c r="B9" s="1">
        <v>1.423</v>
      </c>
      <c r="C9">
        <f t="shared" si="0"/>
        <v>1.4230000000000001E-5</v>
      </c>
    </row>
    <row r="10" spans="1:3" x14ac:dyDescent="0.25">
      <c r="A10">
        <v>120</v>
      </c>
      <c r="B10" s="1">
        <v>1.1639999999999999</v>
      </c>
      <c r="C10">
        <f t="shared" si="0"/>
        <v>1.164E-5</v>
      </c>
    </row>
    <row r="11" spans="1:3" x14ac:dyDescent="0.25">
      <c r="A11">
        <v>140</v>
      </c>
      <c r="B11" s="1">
        <v>0.97399999999999998</v>
      </c>
      <c r="C11">
        <f t="shared" si="0"/>
        <v>9.7399999999999999E-6</v>
      </c>
    </row>
    <row r="12" spans="1:3" x14ac:dyDescent="0.25">
      <c r="A12">
        <v>160</v>
      </c>
      <c r="B12" s="1">
        <v>0.83199999999999996</v>
      </c>
      <c r="C12">
        <f t="shared" si="0"/>
        <v>8.32E-6</v>
      </c>
    </row>
    <row r="13" spans="1:3" x14ac:dyDescent="0.25">
      <c r="A13">
        <v>180</v>
      </c>
      <c r="B13" s="1">
        <v>0.72099999999999997</v>
      </c>
      <c r="C13">
        <f t="shared" si="0"/>
        <v>7.2100000000000004E-6</v>
      </c>
    </row>
    <row r="14" spans="1:3" x14ac:dyDescent="0.25">
      <c r="A14">
        <v>200</v>
      </c>
      <c r="B14" s="1">
        <v>0.63400000000000001</v>
      </c>
      <c r="C14">
        <f t="shared" si="0"/>
        <v>6.3400000000000003E-6</v>
      </c>
    </row>
    <row r="15" spans="1:3" x14ac:dyDescent="0.25">
      <c r="A15">
        <v>212</v>
      </c>
      <c r="B15" s="1">
        <v>0.58899999999999997</v>
      </c>
      <c r="C15">
        <f t="shared" si="0"/>
        <v>5.8900000000000004E-6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31"/>
  <sheetViews>
    <sheetView workbookViewId="0">
      <selection activeCell="M15" sqref="M15"/>
    </sheetView>
  </sheetViews>
  <sheetFormatPr defaultRowHeight="15" x14ac:dyDescent="0.25"/>
  <cols>
    <col min="1" max="2" width="3.28515625" bestFit="1" customWidth="1"/>
    <col min="4" max="4" width="16" bestFit="1" customWidth="1"/>
    <col min="8" max="9" width="3.28515625" bestFit="1" customWidth="1"/>
  </cols>
  <sheetData>
    <row r="1" spans="1:13" ht="15.75" thickBot="1" x14ac:dyDescent="0.3">
      <c r="A1" s="171" t="s">
        <v>77</v>
      </c>
      <c r="B1" s="172"/>
      <c r="C1" s="172"/>
      <c r="D1" s="172"/>
      <c r="E1" s="172"/>
      <c r="F1" s="173"/>
      <c r="H1" s="171" t="s">
        <v>76</v>
      </c>
      <c r="I1" s="172"/>
      <c r="J1" s="172"/>
      <c r="K1" s="172"/>
      <c r="L1" s="172"/>
      <c r="M1" s="173"/>
    </row>
    <row r="2" spans="1:13" x14ac:dyDescent="0.25">
      <c r="A2" s="182" t="s">
        <v>55</v>
      </c>
      <c r="B2" s="183"/>
      <c r="C2" s="186" t="s">
        <v>56</v>
      </c>
      <c r="D2" s="190" t="s">
        <v>57</v>
      </c>
      <c r="E2" s="192" t="s">
        <v>58</v>
      </c>
      <c r="F2" s="194" t="s">
        <v>59</v>
      </c>
      <c r="H2" s="182" t="s">
        <v>55</v>
      </c>
      <c r="I2" s="183"/>
      <c r="J2" s="186" t="s">
        <v>56</v>
      </c>
      <c r="K2" s="190" t="s">
        <v>57</v>
      </c>
      <c r="L2" s="188" t="s">
        <v>58</v>
      </c>
      <c r="M2" s="180" t="s">
        <v>59</v>
      </c>
    </row>
    <row r="3" spans="1:13" ht="24" customHeight="1" x14ac:dyDescent="0.25">
      <c r="A3" s="184"/>
      <c r="B3" s="185"/>
      <c r="C3" s="187"/>
      <c r="D3" s="191"/>
      <c r="E3" s="193"/>
      <c r="F3" s="195"/>
      <c r="H3" s="184"/>
      <c r="I3" s="185"/>
      <c r="J3" s="187"/>
      <c r="K3" s="191"/>
      <c r="L3" s="189"/>
      <c r="M3" s="181"/>
    </row>
    <row r="4" spans="1:13" x14ac:dyDescent="0.25">
      <c r="A4" s="184"/>
      <c r="B4" s="185"/>
      <c r="C4" s="35" t="s">
        <v>60</v>
      </c>
      <c r="D4" s="35">
        <v>50.8</v>
      </c>
      <c r="E4" s="41">
        <v>1</v>
      </c>
      <c r="F4" s="42">
        <v>0</v>
      </c>
      <c r="H4" s="184"/>
      <c r="I4" s="185"/>
      <c r="J4" s="58" t="s">
        <v>60</v>
      </c>
      <c r="K4" s="58">
        <v>50.8</v>
      </c>
      <c r="L4" s="62">
        <v>1</v>
      </c>
      <c r="M4" s="63">
        <v>0</v>
      </c>
    </row>
    <row r="5" spans="1:13" x14ac:dyDescent="0.25">
      <c r="A5" s="184"/>
      <c r="B5" s="185"/>
      <c r="C5" s="47" t="s">
        <v>61</v>
      </c>
      <c r="D5" s="47">
        <v>38.1</v>
      </c>
      <c r="E5" s="41">
        <v>1</v>
      </c>
      <c r="F5" s="42">
        <v>0</v>
      </c>
      <c r="H5" s="184"/>
      <c r="I5" s="185"/>
      <c r="J5" s="58" t="s">
        <v>61</v>
      </c>
      <c r="K5" s="58">
        <v>38.1</v>
      </c>
      <c r="L5" s="62">
        <v>1</v>
      </c>
      <c r="M5" s="63">
        <v>0</v>
      </c>
    </row>
    <row r="6" spans="1:13" x14ac:dyDescent="0.25">
      <c r="A6" s="184"/>
      <c r="B6" s="185"/>
      <c r="C6" s="47" t="s">
        <v>62</v>
      </c>
      <c r="D6" s="47">
        <v>25.4</v>
      </c>
      <c r="E6" s="41">
        <v>1</v>
      </c>
      <c r="F6" s="42">
        <v>0</v>
      </c>
      <c r="H6" s="184"/>
      <c r="I6" s="185"/>
      <c r="J6" s="58" t="s">
        <v>62</v>
      </c>
      <c r="K6" s="58">
        <v>25.4</v>
      </c>
      <c r="L6" s="62">
        <v>1</v>
      </c>
      <c r="M6" s="63">
        <v>0</v>
      </c>
    </row>
    <row r="7" spans="1:13" x14ac:dyDescent="0.25">
      <c r="A7" s="184"/>
      <c r="B7" s="185"/>
      <c r="C7" s="47" t="s">
        <v>63</v>
      </c>
      <c r="D7" s="47">
        <v>19</v>
      </c>
      <c r="E7" s="41">
        <v>1</v>
      </c>
      <c r="F7" s="42">
        <v>0</v>
      </c>
      <c r="H7" s="184"/>
      <c r="I7" s="185"/>
      <c r="J7" s="58" t="s">
        <v>63</v>
      </c>
      <c r="K7" s="58">
        <v>19</v>
      </c>
      <c r="L7" s="62">
        <v>1</v>
      </c>
      <c r="M7" s="63">
        <v>0</v>
      </c>
    </row>
    <row r="8" spans="1:13" x14ac:dyDescent="0.25">
      <c r="A8" s="184"/>
      <c r="B8" s="185"/>
      <c r="C8" s="47" t="s">
        <v>64</v>
      </c>
      <c r="D8" s="47">
        <v>12.7</v>
      </c>
      <c r="E8" s="41">
        <v>1</v>
      </c>
      <c r="F8" s="42">
        <v>0</v>
      </c>
      <c r="H8" s="184"/>
      <c r="I8" s="185"/>
      <c r="J8" s="58" t="s">
        <v>64</v>
      </c>
      <c r="K8" s="58">
        <v>12.7</v>
      </c>
      <c r="L8" s="62">
        <v>1</v>
      </c>
      <c r="M8" s="63">
        <v>0</v>
      </c>
    </row>
    <row r="9" spans="1:13" x14ac:dyDescent="0.25">
      <c r="A9" s="184"/>
      <c r="B9" s="185"/>
      <c r="C9" s="47" t="s">
        <v>65</v>
      </c>
      <c r="D9" s="47">
        <v>9.51</v>
      </c>
      <c r="E9" s="41">
        <v>1</v>
      </c>
      <c r="F9" s="42">
        <v>0</v>
      </c>
      <c r="H9" s="184"/>
      <c r="I9" s="185"/>
      <c r="J9" s="58" t="s">
        <v>65</v>
      </c>
      <c r="K9" s="58">
        <v>9.51</v>
      </c>
      <c r="L9" s="62">
        <v>1</v>
      </c>
      <c r="M9" s="63">
        <v>0</v>
      </c>
    </row>
    <row r="10" spans="1:13" x14ac:dyDescent="0.25">
      <c r="A10" s="184"/>
      <c r="B10" s="185"/>
      <c r="C10" s="47" t="s">
        <v>66</v>
      </c>
      <c r="D10" s="47">
        <v>4.76</v>
      </c>
      <c r="E10" s="41">
        <v>1</v>
      </c>
      <c r="F10" s="42">
        <v>0</v>
      </c>
      <c r="H10" s="184"/>
      <c r="I10" s="185"/>
      <c r="J10" s="58" t="s">
        <v>66</v>
      </c>
      <c r="K10" s="58">
        <v>4.76</v>
      </c>
      <c r="L10" s="62">
        <v>1</v>
      </c>
      <c r="M10" s="63">
        <v>0</v>
      </c>
    </row>
    <row r="11" spans="1:13" x14ac:dyDescent="0.25">
      <c r="A11" s="184"/>
      <c r="B11" s="185"/>
      <c r="C11" s="47" t="s">
        <v>67</v>
      </c>
      <c r="D11" s="47">
        <v>2.38</v>
      </c>
      <c r="E11" s="41">
        <v>1</v>
      </c>
      <c r="F11" s="42">
        <v>0</v>
      </c>
      <c r="H11" s="184"/>
      <c r="I11" s="185"/>
      <c r="J11" s="58" t="s">
        <v>67</v>
      </c>
      <c r="K11" s="58">
        <v>2.38</v>
      </c>
      <c r="L11" s="62">
        <v>1</v>
      </c>
      <c r="M11" s="63">
        <v>0</v>
      </c>
    </row>
    <row r="12" spans="1:13" ht="15.75" thickBot="1" x14ac:dyDescent="0.3">
      <c r="A12" s="184"/>
      <c r="B12" s="185"/>
      <c r="C12" s="50" t="s">
        <v>68</v>
      </c>
      <c r="D12" s="50">
        <v>2</v>
      </c>
      <c r="E12" s="43">
        <v>1</v>
      </c>
      <c r="F12" s="44">
        <v>0</v>
      </c>
      <c r="H12" s="184"/>
      <c r="I12" s="185"/>
      <c r="J12" s="68" t="s">
        <v>68</v>
      </c>
      <c r="K12" s="68">
        <v>2</v>
      </c>
      <c r="L12" s="64">
        <v>1</v>
      </c>
      <c r="M12" s="65">
        <v>0</v>
      </c>
    </row>
    <row r="13" spans="1:13" ht="18" customHeight="1" x14ac:dyDescent="0.25">
      <c r="A13" s="165" t="s">
        <v>69</v>
      </c>
      <c r="B13" s="168" t="s">
        <v>70</v>
      </c>
      <c r="C13" s="51" t="s">
        <v>71</v>
      </c>
      <c r="D13" s="51">
        <v>0.25</v>
      </c>
      <c r="E13" s="37">
        <v>0.99489795918367241</v>
      </c>
      <c r="F13" s="40">
        <v>5.1020408163275754E-3</v>
      </c>
      <c r="H13" s="165" t="s">
        <v>69</v>
      </c>
      <c r="I13" s="168" t="s">
        <v>70</v>
      </c>
      <c r="J13" s="69" t="s">
        <v>71</v>
      </c>
      <c r="K13" s="69">
        <v>0.25</v>
      </c>
      <c r="L13" s="66">
        <v>0.97863247863247871</v>
      </c>
      <c r="M13" s="67">
        <v>2.1367521367521247E-2</v>
      </c>
    </row>
    <row r="14" spans="1:13" ht="18" customHeight="1" x14ac:dyDescent="0.25">
      <c r="A14" s="166"/>
      <c r="B14" s="169"/>
      <c r="C14" s="47" t="s">
        <v>72</v>
      </c>
      <c r="D14" s="47">
        <v>0.17699999999999999</v>
      </c>
      <c r="E14" s="36">
        <v>0.98469387755102022</v>
      </c>
      <c r="F14" s="42">
        <v>1.5306122448979826E-2</v>
      </c>
      <c r="H14" s="166"/>
      <c r="I14" s="169"/>
      <c r="J14" s="58" t="s">
        <v>72</v>
      </c>
      <c r="K14" s="58">
        <v>0.17699999999999999</v>
      </c>
      <c r="L14" s="59">
        <v>0.92307692307692302</v>
      </c>
      <c r="M14" s="63">
        <v>7.6923076923076955E-2</v>
      </c>
    </row>
    <row r="15" spans="1:13" ht="18" customHeight="1" x14ac:dyDescent="0.25">
      <c r="A15" s="166"/>
      <c r="B15" s="169"/>
      <c r="C15" s="47" t="s">
        <v>73</v>
      </c>
      <c r="D15" s="47">
        <v>0.14899999999999999</v>
      </c>
      <c r="E15" s="36">
        <v>0.96938775510204034</v>
      </c>
      <c r="F15" s="42">
        <v>3.0612244897959651E-2</v>
      </c>
      <c r="H15" s="166"/>
      <c r="I15" s="169"/>
      <c r="J15" s="58" t="s">
        <v>73</v>
      </c>
      <c r="K15" s="58">
        <v>0.14899999999999999</v>
      </c>
      <c r="L15" s="59">
        <v>0.86752136752136733</v>
      </c>
      <c r="M15" s="63">
        <v>0.1324786324786327</v>
      </c>
    </row>
    <row r="16" spans="1:13" ht="18" customHeight="1" x14ac:dyDescent="0.25">
      <c r="A16" s="166"/>
      <c r="B16" s="169"/>
      <c r="C16" s="47" t="s">
        <v>74</v>
      </c>
      <c r="D16" s="47">
        <v>7.3999999999999996E-2</v>
      </c>
      <c r="E16" s="36">
        <v>0.87244897959183676</v>
      </c>
      <c r="F16" s="42">
        <v>0.12755102040816327</v>
      </c>
      <c r="H16" s="166"/>
      <c r="I16" s="169"/>
      <c r="J16" s="58" t="s">
        <v>74</v>
      </c>
      <c r="K16" s="58">
        <v>7.3999999999999996E-2</v>
      </c>
      <c r="L16" s="59">
        <v>0.67094017094017089</v>
      </c>
      <c r="M16" s="63">
        <v>0.32905982905982911</v>
      </c>
    </row>
    <row r="17" spans="1:13" x14ac:dyDescent="0.25">
      <c r="A17" s="166"/>
      <c r="B17" s="169" t="s">
        <v>75</v>
      </c>
      <c r="C17" s="48">
        <v>3.4499320573019986E-2</v>
      </c>
      <c r="D17" s="48">
        <v>3.4499320573019986E-2</v>
      </c>
      <c r="E17" s="38">
        <v>0.85788118586952478</v>
      </c>
      <c r="F17" s="45">
        <v>0.14211881413047522</v>
      </c>
      <c r="H17" s="166"/>
      <c r="I17" s="169" t="s">
        <v>75</v>
      </c>
      <c r="J17" s="54">
        <v>3.5332148958137265E-2</v>
      </c>
      <c r="K17" s="54">
        <v>3.5332148958137265E-2</v>
      </c>
      <c r="L17" s="56">
        <v>0.50655027150753174</v>
      </c>
      <c r="M17" s="60">
        <v>0.49344972849246826</v>
      </c>
    </row>
    <row r="18" spans="1:13" x14ac:dyDescent="0.25">
      <c r="A18" s="166"/>
      <c r="B18" s="169"/>
      <c r="C18" s="48">
        <v>2.2067711072968128E-2</v>
      </c>
      <c r="D18" s="48">
        <v>2.2067711072968128E-2</v>
      </c>
      <c r="E18" s="38">
        <v>0.78639108704705651</v>
      </c>
      <c r="F18" s="45">
        <v>0.21360891295294349</v>
      </c>
      <c r="H18" s="166"/>
      <c r="I18" s="169"/>
      <c r="J18" s="54">
        <v>2.2594770412641949E-2</v>
      </c>
      <c r="K18" s="54">
        <v>2.2594770412641949E-2</v>
      </c>
      <c r="L18" s="56">
        <v>0.46050024682503354</v>
      </c>
      <c r="M18" s="60">
        <v>0.53949975317496646</v>
      </c>
    </row>
    <row r="19" spans="1:13" x14ac:dyDescent="0.25">
      <c r="A19" s="166"/>
      <c r="B19" s="169"/>
      <c r="C19" s="48">
        <v>1.2976323464936695E-2</v>
      </c>
      <c r="D19" s="48">
        <v>1.2976323464936695E-2</v>
      </c>
      <c r="E19" s="38">
        <v>0.64341088940213564</v>
      </c>
      <c r="F19" s="45">
        <v>0.35658911059786436</v>
      </c>
      <c r="H19" s="166"/>
      <c r="I19" s="169"/>
      <c r="J19" s="54">
        <v>1.3139971461156223E-2</v>
      </c>
      <c r="K19" s="54">
        <v>1.3139971461156223E-2</v>
      </c>
      <c r="L19" s="56">
        <f>1-M19</f>
        <v>0.41445022214252503</v>
      </c>
      <c r="M19" s="60">
        <v>0.58554977785747497</v>
      </c>
    </row>
    <row r="20" spans="1:13" x14ac:dyDescent="0.25">
      <c r="A20" s="166"/>
      <c r="B20" s="169"/>
      <c r="C20" s="48">
        <v>9.2741355032872654E-3</v>
      </c>
      <c r="D20" s="48">
        <v>9.2741355032872654E-3</v>
      </c>
      <c r="E20" s="38">
        <v>0.6076658399909094</v>
      </c>
      <c r="F20" s="45">
        <v>0.3923341600090906</v>
      </c>
      <c r="H20" s="166"/>
      <c r="I20" s="169"/>
      <c r="J20" s="54">
        <v>9.2913629247812733E-3</v>
      </c>
      <c r="K20" s="54">
        <v>9.2913629247812733E-3</v>
      </c>
      <c r="L20" s="56">
        <v>0.41445022214252503</v>
      </c>
      <c r="M20" s="60">
        <v>0.58560000000000001</v>
      </c>
    </row>
    <row r="21" spans="1:13" x14ac:dyDescent="0.25">
      <c r="A21" s="166"/>
      <c r="B21" s="169"/>
      <c r="C21" s="48">
        <v>6.479966666580933E-3</v>
      </c>
      <c r="D21" s="48">
        <v>6.479966666580933E-3</v>
      </c>
      <c r="E21" s="38">
        <v>0.57192079057968315</v>
      </c>
      <c r="F21" s="45">
        <v>0.42807920942031685</v>
      </c>
      <c r="H21" s="166"/>
      <c r="I21" s="169"/>
      <c r="J21" s="54">
        <v>6.6871069977980768E-3</v>
      </c>
      <c r="K21" s="54">
        <v>6.6871069977980768E-3</v>
      </c>
      <c r="L21" s="56">
        <v>0.34537518511877763</v>
      </c>
      <c r="M21" s="60">
        <v>0.65462481488122237</v>
      </c>
    </row>
    <row r="22" spans="1:13" x14ac:dyDescent="0.25">
      <c r="A22" s="166"/>
      <c r="B22" s="169"/>
      <c r="C22" s="48">
        <v>3.2299283459544426E-3</v>
      </c>
      <c r="D22" s="48">
        <v>3.2299283459544426E-3</v>
      </c>
      <c r="E22" s="38">
        <v>0.46468564234598864</v>
      </c>
      <c r="F22" s="45">
        <v>0.53531435765401136</v>
      </c>
      <c r="H22" s="166"/>
      <c r="I22" s="169"/>
      <c r="J22" s="54">
        <v>3.2687262840439854E-3</v>
      </c>
      <c r="K22" s="54">
        <v>3.2687262840439854E-3</v>
      </c>
      <c r="L22" s="56">
        <v>0.27630014809502013</v>
      </c>
      <c r="M22" s="60">
        <v>0.72369985190497987</v>
      </c>
    </row>
    <row r="23" spans="1:13" ht="15.75" thickBot="1" x14ac:dyDescent="0.3">
      <c r="A23" s="167"/>
      <c r="B23" s="170"/>
      <c r="C23" s="49">
        <v>1.3619692850183273E-3</v>
      </c>
      <c r="D23" s="49">
        <v>1.3619692850183273E-3</v>
      </c>
      <c r="E23" s="39">
        <v>0.43608960281700759</v>
      </c>
      <c r="F23" s="46">
        <v>0.56391039718299241</v>
      </c>
      <c r="H23" s="167"/>
      <c r="I23" s="170"/>
      <c r="J23" s="55">
        <v>1.3757967388632185E-3</v>
      </c>
      <c r="K23" s="55">
        <v>1.3757967388632185E-3</v>
      </c>
      <c r="L23" s="57">
        <v>0.25327513575377103</v>
      </c>
      <c r="M23" s="61">
        <v>0.74672486424622897</v>
      </c>
    </row>
    <row r="24" spans="1:13" x14ac:dyDescent="0.25">
      <c r="A24" s="174" t="s">
        <v>80</v>
      </c>
      <c r="B24" s="175"/>
      <c r="C24" s="70">
        <f>C23</f>
        <v>1.3619692850183273E-3</v>
      </c>
      <c r="D24" s="71">
        <f>C24</f>
        <v>1.3619692850183273E-3</v>
      </c>
      <c r="E24" s="72">
        <f>E23</f>
        <v>0.43608960281700759</v>
      </c>
      <c r="F24" s="73">
        <f>1-E24</f>
        <v>0.56391039718299241</v>
      </c>
    </row>
    <row r="25" spans="1:13" x14ac:dyDescent="0.25">
      <c r="A25" s="176"/>
      <c r="B25" s="177"/>
      <c r="C25" s="70">
        <f>C24/C22*C24</f>
        <v>5.7430386517914953E-4</v>
      </c>
      <c r="D25" s="71">
        <f>C25</f>
        <v>5.7430386517914953E-4</v>
      </c>
      <c r="E25" s="72">
        <f>E24-0.05</f>
        <v>0.3860896028170076</v>
      </c>
      <c r="F25" s="73">
        <f>1-E25</f>
        <v>0.61391039718299245</v>
      </c>
    </row>
    <row r="26" spans="1:13" x14ac:dyDescent="0.25">
      <c r="A26" s="176"/>
      <c r="B26" s="177"/>
      <c r="C26" s="70">
        <f t="shared" ref="C26:C31" si="0">C25/C24*C25</f>
        <v>2.4216767087759434E-4</v>
      </c>
      <c r="D26" s="71">
        <f t="shared" ref="D26:D31" si="1">C26</f>
        <v>2.4216767087759434E-4</v>
      </c>
      <c r="E26" s="72">
        <f t="shared" ref="E26:E31" si="2">E25-0.05</f>
        <v>0.33608960281700762</v>
      </c>
      <c r="F26" s="73">
        <f t="shared" ref="F26:F31" si="3">1-E26</f>
        <v>0.66391039718299238</v>
      </c>
    </row>
    <row r="27" spans="1:13" x14ac:dyDescent="0.25">
      <c r="A27" s="176"/>
      <c r="B27" s="177"/>
      <c r="C27" s="70">
        <f t="shared" si="0"/>
        <v>1.0211524660379041E-4</v>
      </c>
      <c r="D27" s="71">
        <f t="shared" si="1"/>
        <v>1.0211524660379041E-4</v>
      </c>
      <c r="E27" s="72">
        <f t="shared" si="2"/>
        <v>0.28608960281700763</v>
      </c>
      <c r="F27" s="73">
        <f t="shared" si="3"/>
        <v>0.71391039718299232</v>
      </c>
    </row>
    <row r="28" spans="1:13" x14ac:dyDescent="0.25">
      <c r="A28" s="176"/>
      <c r="B28" s="177"/>
      <c r="C28" s="70">
        <f t="shared" si="0"/>
        <v>4.3059106738585299E-5</v>
      </c>
      <c r="D28" s="71">
        <f t="shared" si="1"/>
        <v>4.3059106738585299E-5</v>
      </c>
      <c r="E28" s="72">
        <f t="shared" si="2"/>
        <v>0.23608960281700764</v>
      </c>
      <c r="F28" s="73">
        <f t="shared" si="3"/>
        <v>0.76391039718299236</v>
      </c>
    </row>
    <row r="29" spans="1:13" x14ac:dyDescent="0.25">
      <c r="A29" s="176"/>
      <c r="B29" s="177"/>
      <c r="C29" s="70">
        <f t="shared" si="0"/>
        <v>1.8156805519148207E-5</v>
      </c>
      <c r="D29" s="71">
        <f t="shared" si="1"/>
        <v>1.8156805519148207E-5</v>
      </c>
      <c r="E29" s="72">
        <f t="shared" si="2"/>
        <v>0.18608960281700765</v>
      </c>
      <c r="F29" s="73">
        <f t="shared" si="3"/>
        <v>0.81391039718299241</v>
      </c>
    </row>
    <row r="30" spans="1:13" x14ac:dyDescent="0.25">
      <c r="A30" s="176"/>
      <c r="B30" s="177"/>
      <c r="C30" s="70">
        <f t="shared" si="0"/>
        <v>7.6562105354766587E-6</v>
      </c>
      <c r="D30" s="71">
        <f t="shared" si="1"/>
        <v>7.6562105354766587E-6</v>
      </c>
      <c r="E30" s="72">
        <f t="shared" si="2"/>
        <v>0.13608960281700766</v>
      </c>
      <c r="F30" s="73">
        <f t="shared" si="3"/>
        <v>0.86391039718299234</v>
      </c>
    </row>
    <row r="31" spans="1:13" ht="15.75" thickBot="1" x14ac:dyDescent="0.3">
      <c r="A31" s="178"/>
      <c r="B31" s="179"/>
      <c r="C31" s="70">
        <f t="shared" si="0"/>
        <v>3.2284070951647071E-6</v>
      </c>
      <c r="D31" s="71">
        <f t="shared" si="1"/>
        <v>3.2284070951647071E-6</v>
      </c>
      <c r="E31" s="72">
        <f t="shared" si="2"/>
        <v>8.6089602817007657E-2</v>
      </c>
      <c r="F31" s="73">
        <f t="shared" si="3"/>
        <v>0.91391039718299238</v>
      </c>
    </row>
  </sheetData>
  <mergeCells count="19">
    <mergeCell ref="H1:M1"/>
    <mergeCell ref="J2:J3"/>
    <mergeCell ref="L2:L3"/>
    <mergeCell ref="K2:K3"/>
    <mergeCell ref="A2:B12"/>
    <mergeCell ref="C2:C3"/>
    <mergeCell ref="D2:D3"/>
    <mergeCell ref="E2:E3"/>
    <mergeCell ref="F2:F3"/>
    <mergeCell ref="I17:I23"/>
    <mergeCell ref="H13:H23"/>
    <mergeCell ref="M2:M3"/>
    <mergeCell ref="H2:I12"/>
    <mergeCell ref="I13:I16"/>
    <mergeCell ref="A13:A23"/>
    <mergeCell ref="B13:B16"/>
    <mergeCell ref="B17:B23"/>
    <mergeCell ref="A1:F1"/>
    <mergeCell ref="A24:B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A4"/>
  <sheetViews>
    <sheetView workbookViewId="0">
      <selection activeCell="D40" sqref="D40"/>
    </sheetView>
  </sheetViews>
  <sheetFormatPr defaultRowHeight="15" x14ac:dyDescent="0.25"/>
  <sheetData>
    <row r="2" spans="1:1" x14ac:dyDescent="0.25">
      <c r="A2" s="52" t="s">
        <v>95</v>
      </c>
    </row>
    <row r="3" spans="1:1" x14ac:dyDescent="0.25">
      <c r="A3" s="52" t="s">
        <v>94</v>
      </c>
    </row>
    <row r="4" spans="1:1" x14ac:dyDescent="0.25">
      <c r="A4" s="52" t="s">
        <v>132</v>
      </c>
    </row>
  </sheetData>
  <hyperlinks>
    <hyperlink ref="A3" r:id="rId1"/>
    <hyperlink ref="A2" r:id="rId2"/>
    <hyperlink ref="A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33</vt:i4>
      </vt:variant>
    </vt:vector>
  </HeadingPairs>
  <TitlesOfParts>
    <vt:vector size="37" baseType="lpstr">
      <vt:lpstr>Vs</vt:lpstr>
      <vt:lpstr>Viscosity Table</vt:lpstr>
      <vt:lpstr>Material Gradations</vt:lpstr>
      <vt:lpstr>Sources</vt:lpstr>
      <vt:lpstr>A</vt:lpstr>
      <vt:lpstr>Amin</vt:lpstr>
      <vt:lpstr>CDa</vt:lpstr>
      <vt:lpstr>D</vt:lpstr>
      <vt:lpstr>dist</vt:lpstr>
      <vt:lpstr>Dp</vt:lpstr>
      <vt:lpstr>dpmin</vt:lpstr>
      <vt:lpstr>dx</vt:lpstr>
      <vt:lpstr>dy</vt:lpstr>
      <vt:lpstr>g</vt:lpstr>
      <vt:lpstr>L</vt:lpstr>
      <vt:lpstr>muf</vt:lpstr>
      <vt:lpstr>P</vt:lpstr>
      <vt:lpstr>phi</vt:lpstr>
      <vt:lpstr>Vs!Print_Area</vt:lpstr>
      <vt:lpstr>Q</vt:lpstr>
      <vt:lpstr>Re</vt:lpstr>
      <vt:lpstr>rhof</vt:lpstr>
      <vt:lpstr>rhop</vt:lpstr>
      <vt:lpstr>S</vt:lpstr>
      <vt:lpstr>T</vt:lpstr>
      <vt:lpstr>tone</vt:lpstr>
      <vt:lpstr>ttwo</vt:lpstr>
      <vt:lpstr>v0</vt:lpstr>
      <vt:lpstr>vx</vt:lpstr>
      <vt:lpstr>W</vt:lpstr>
      <vt:lpstr>x</vt:lpstr>
      <vt:lpstr>x0</vt:lpstr>
      <vt:lpstr>xone</vt:lpstr>
      <vt:lpstr>y</vt:lpstr>
      <vt:lpstr>y0</vt:lpstr>
      <vt:lpstr>yone</vt:lpstr>
      <vt:lpstr>Zone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Reed</dc:creator>
  <cp:lastModifiedBy>Steven Reed</cp:lastModifiedBy>
  <cp:lastPrinted>2019-07-08T23:21:05Z</cp:lastPrinted>
  <dcterms:created xsi:type="dcterms:W3CDTF">2019-07-02T22:25:50Z</dcterms:created>
  <dcterms:modified xsi:type="dcterms:W3CDTF">2019-07-10T21:19:44Z</dcterms:modified>
</cp:coreProperties>
</file>