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t.Bhamre\Desktop\"/>
    </mc:Choice>
  </mc:AlternateContent>
  <bookViews>
    <workbookView xWindow="0" yWindow="0" windowWidth="20490" windowHeight="7545"/>
  </bookViews>
  <sheets>
    <sheet name="Design Stormwater" sheetId="4" r:id="rId1"/>
  </sheets>
  <definedNames>
    <definedName name="_xlnm.Print_Area" localSheetId="0">'Design Stormwater'!$A$1:$AJ$37</definedName>
    <definedName name="_xlnm.Print_Titles" localSheetId="0">'Design Stormwater'!$17:$17</definedName>
  </definedNames>
  <calcPr calcId="171027"/>
</workbook>
</file>

<file path=xl/calcChain.xml><?xml version="1.0" encoding="utf-8"?>
<calcChain xmlns="http://schemas.openxmlformats.org/spreadsheetml/2006/main">
  <c r="Z22" i="4" l="1"/>
  <c r="AB22" i="4" s="1"/>
  <c r="AC22" i="4"/>
  <c r="V22" i="4" l="1"/>
  <c r="I23" i="4" l="1"/>
  <c r="I22" i="4"/>
  <c r="M22" i="4" s="1"/>
  <c r="Y23" i="4" l="1"/>
  <c r="Z23" i="4" s="1"/>
  <c r="AA23" i="4" s="1"/>
  <c r="AC23" i="4" s="1"/>
  <c r="Y24" i="4"/>
  <c r="Y26" i="4"/>
  <c r="Z26" i="4" s="1"/>
  <c r="AA26" i="4" s="1"/>
  <c r="AB26" i="4" s="1"/>
  <c r="Y27" i="4"/>
  <c r="Y28" i="4"/>
  <c r="Z28" i="4" s="1"/>
  <c r="AA28" i="4" s="1"/>
  <c r="AC28" i="4" s="1"/>
  <c r="Y29" i="4"/>
  <c r="Z29" i="4" s="1"/>
  <c r="AA29" i="4" s="1"/>
  <c r="W29" i="4" s="1"/>
  <c r="Y22" i="4"/>
  <c r="Z27" i="4"/>
  <c r="AA27" i="4" s="1"/>
  <c r="AC27" i="4" s="1"/>
  <c r="Z24" i="4"/>
  <c r="AA24" i="4" s="1"/>
  <c r="AC24" i="4" s="1"/>
  <c r="W22" i="4" l="1"/>
  <c r="W23" i="4"/>
  <c r="W26" i="4"/>
  <c r="W27" i="4"/>
  <c r="W24" i="4"/>
  <c r="W28" i="4"/>
  <c r="AB27" i="4"/>
  <c r="AC29" i="4"/>
  <c r="AB29" i="4"/>
  <c r="AB24" i="4"/>
  <c r="AB28" i="4"/>
  <c r="AB23" i="4"/>
  <c r="AC26" i="4"/>
  <c r="M29" i="4" l="1"/>
  <c r="M28" i="4"/>
  <c r="M27" i="4"/>
  <c r="M26" i="4"/>
  <c r="M24" i="4"/>
  <c r="M23" i="4"/>
  <c r="R22" i="4"/>
  <c r="N22" i="4"/>
  <c r="N23" i="4" l="1"/>
  <c r="N24" i="4" s="1"/>
  <c r="N26" i="4" s="1"/>
  <c r="N27" i="4" s="1"/>
  <c r="N28" i="4" s="1"/>
  <c r="N29" i="4" s="1"/>
  <c r="S22" i="4"/>
  <c r="T22" i="4" s="1"/>
  <c r="U22" i="4" s="1"/>
  <c r="G29" i="4" l="1"/>
  <c r="G28" i="4"/>
  <c r="G27" i="4"/>
  <c r="G26" i="4"/>
  <c r="G24" i="4"/>
  <c r="G23" i="4"/>
  <c r="G22" i="4"/>
  <c r="AD22" i="4" l="1"/>
  <c r="AE22" i="4" s="1"/>
  <c r="AF22" i="4" l="1"/>
  <c r="AG22" i="4" s="1"/>
  <c r="AI22" i="4" s="1"/>
  <c r="P23" i="4"/>
  <c r="Q23" i="4" s="1"/>
  <c r="AD23" i="4"/>
  <c r="AE23" i="4" s="1"/>
  <c r="AF23" i="4" l="1"/>
  <c r="AG23" i="4" s="1"/>
  <c r="P24" i="4"/>
  <c r="Q24" i="4" s="1"/>
  <c r="R23" i="4"/>
  <c r="AD24" i="4"/>
  <c r="AE24" i="4" l="1"/>
  <c r="AF24" i="4" s="1"/>
  <c r="AG24" i="4" s="1"/>
  <c r="S23" i="4"/>
  <c r="T23" i="4" s="1"/>
  <c r="U23" i="4" s="1"/>
  <c r="V23" i="4" s="1"/>
  <c r="R24" i="4"/>
  <c r="AD26" i="4"/>
  <c r="AE26" i="4" l="1"/>
  <c r="P27" i="4" s="1"/>
  <c r="Q27" i="4" s="1"/>
  <c r="R26" i="4"/>
  <c r="S24" i="4"/>
  <c r="T24" i="4" s="1"/>
  <c r="U24" i="4" s="1"/>
  <c r="V24" i="4" s="1"/>
  <c r="AD27" i="4"/>
  <c r="AF26" i="4" l="1"/>
  <c r="AG26" i="4" s="1"/>
  <c r="AE27" i="4"/>
  <c r="P28" i="4" s="1"/>
  <c r="Q28" i="4" s="1"/>
  <c r="R27" i="4"/>
  <c r="S26" i="4"/>
  <c r="T26" i="4" s="1"/>
  <c r="U26" i="4" s="1"/>
  <c r="V26" i="4" s="1"/>
  <c r="AD28" i="4"/>
  <c r="AF27" i="4" l="1"/>
  <c r="AG27" i="4" s="1"/>
  <c r="AE28" i="4"/>
  <c r="P29" i="4" s="1"/>
  <c r="Q29" i="4" s="1"/>
  <c r="S27" i="4"/>
  <c r="T27" i="4" s="1"/>
  <c r="U27" i="4" s="1"/>
  <c r="V27" i="4" s="1"/>
  <c r="R28" i="4"/>
  <c r="AD29" i="4"/>
  <c r="AE29" i="4" l="1"/>
  <c r="AF29" i="4" s="1"/>
  <c r="AG29" i="4" s="1"/>
  <c r="AF28" i="4"/>
  <c r="AG28" i="4" s="1"/>
  <c r="R29" i="4"/>
  <c r="S29" i="4" s="1"/>
  <c r="T29" i="4" s="1"/>
  <c r="U29" i="4" s="1"/>
  <c r="V29" i="4" s="1"/>
  <c r="S28" i="4"/>
  <c r="T28" i="4" s="1"/>
  <c r="U28" i="4" s="1"/>
  <c r="V28" i="4" s="1"/>
  <c r="AJ26" i="4"/>
  <c r="AJ28" i="4" l="1"/>
  <c r="AJ23" i="4"/>
  <c r="AJ29" i="4" l="1"/>
  <c r="AJ24" i="4"/>
  <c r="AJ27" i="4"/>
  <c r="AJ22" i="4" l="1"/>
  <c r="AI23" i="4" l="1"/>
  <c r="AI24" i="4" l="1"/>
  <c r="AI26" i="4" l="1"/>
  <c r="AI27" i="4" l="1"/>
  <c r="AI28" i="4" l="1"/>
  <c r="AI29" i="4" l="1"/>
</calcChain>
</file>

<file path=xl/sharedStrings.xml><?xml version="1.0" encoding="utf-8"?>
<sst xmlns="http://schemas.openxmlformats.org/spreadsheetml/2006/main" count="120" uniqueCount="95">
  <si>
    <t>Sr. No.</t>
  </si>
  <si>
    <t>From Node</t>
  </si>
  <si>
    <t>To Node</t>
  </si>
  <si>
    <t>m</t>
  </si>
  <si>
    <t>Drop</t>
  </si>
  <si>
    <t>Note: Copy Colum A,B,C,J to Appendix A</t>
  </si>
  <si>
    <t>Design Flowrate Calculation Procedure:</t>
  </si>
  <si>
    <t>Calculate Design Flow Rate for Each Pipe = Cummulative Peak Flow Rate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</si>
  <si>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/sec</t>
    </r>
  </si>
  <si>
    <t>For Tie-in apart from Toilet Blocks Assume Flow Rate = 5m3/hr for Design Purpose</t>
  </si>
  <si>
    <t>Length of Pipe</t>
  </si>
  <si>
    <t>Hydraulic Radius</t>
  </si>
  <si>
    <t>L</t>
  </si>
  <si>
    <t>Zone-A</t>
  </si>
  <si>
    <t>Asphalt</t>
  </si>
  <si>
    <t>Runoff Coef.</t>
  </si>
  <si>
    <t>Cumm. 
Area</t>
  </si>
  <si>
    <t>Time of Concentration</t>
  </si>
  <si>
    <t>Overland Flow</t>
  </si>
  <si>
    <t>Channel Time</t>
  </si>
  <si>
    <t>Cumm. Channel Flow Time</t>
  </si>
  <si>
    <t>Rainfall Intensity</t>
  </si>
  <si>
    <t>I = k/(t+b)</t>
  </si>
  <si>
    <t>Overland Flow Time T (initial) =</t>
  </si>
  <si>
    <t>= 2.53 min</t>
  </si>
  <si>
    <t>Therefore use 10min</t>
  </si>
  <si>
    <t>Pipe Flow Time Tf(pipe) = Length / Velocity</t>
  </si>
  <si>
    <t>Minimum Tc for system design = 10min</t>
  </si>
  <si>
    <t>Where,</t>
  </si>
  <si>
    <t>K = 2443</t>
  </si>
  <si>
    <t>b = 27.5</t>
  </si>
  <si>
    <t>For 5yr Storm Frequency</t>
  </si>
  <si>
    <t>Calculate Catchament Area from each catch basin and find equivalent area after multiplying with runoff coefficent</t>
  </si>
  <si>
    <t>Select pipe diameter, slope for given cross section.</t>
  </si>
  <si>
    <t>Calculate Time of Concentration for each Pipe separatly.</t>
  </si>
  <si>
    <t>Tc = T intial + T pipe</t>
  </si>
  <si>
    <t xml:space="preserve">T initial = </t>
  </si>
  <si>
    <t>Manning coeff</t>
  </si>
  <si>
    <t>1:S</t>
  </si>
  <si>
    <t>d</t>
  </si>
  <si>
    <t>n</t>
  </si>
  <si>
    <r>
      <t>m</t>
    </r>
    <r>
      <rPr>
        <vertAlign val="superscript"/>
        <sz val="10"/>
        <rFont val="Arial"/>
        <family val="2"/>
      </rPr>
      <t>2</t>
    </r>
  </si>
  <si>
    <t>Slope
(Gradient)</t>
  </si>
  <si>
    <t>Equiv. Area</t>
  </si>
  <si>
    <t>min</t>
  </si>
  <si>
    <t>mm/hr</t>
  </si>
  <si>
    <r>
      <t>T</t>
    </r>
    <r>
      <rPr>
        <vertAlign val="subscript"/>
        <sz val="10"/>
        <rFont val="Arial"/>
        <family val="2"/>
      </rPr>
      <t>initial</t>
    </r>
  </si>
  <si>
    <r>
      <t>T</t>
    </r>
    <r>
      <rPr>
        <vertAlign val="subscript"/>
        <sz val="10"/>
        <rFont val="Arial"/>
        <family val="2"/>
      </rPr>
      <t>flow</t>
    </r>
  </si>
  <si>
    <r>
      <t>T</t>
    </r>
    <r>
      <rPr>
        <vertAlign val="subscript"/>
        <sz val="10"/>
        <rFont val="Arial"/>
        <family val="2"/>
      </rPr>
      <t>C</t>
    </r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</si>
  <si>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/hr</t>
    </r>
  </si>
  <si>
    <t>Appendix - A : Design Stormwater Flow Rate Calculation Sheet</t>
  </si>
  <si>
    <t>Type of Section</t>
  </si>
  <si>
    <t>Rect.</t>
  </si>
  <si>
    <t>Trape.</t>
  </si>
  <si>
    <t>Trian</t>
  </si>
  <si>
    <t>:Rectangular</t>
  </si>
  <si>
    <t>:Trapezoidal</t>
  </si>
  <si>
    <t>:Traingular</t>
  </si>
  <si>
    <t>b</t>
  </si>
  <si>
    <t>Q Check</t>
  </si>
  <si>
    <t>V Check</t>
  </si>
  <si>
    <t>y</t>
  </si>
  <si>
    <t>Wetted
Depth</t>
  </si>
  <si>
    <t>b = 2y</t>
  </si>
  <si>
    <t>Eco.
Bottom Width</t>
  </si>
  <si>
    <t>Provided 
Bottom Width</t>
  </si>
  <si>
    <t>Channel Hydraulic Properties</t>
  </si>
  <si>
    <t>Wetted Perimeter</t>
  </si>
  <si>
    <t>Wetted Area</t>
  </si>
  <si>
    <t>A = b*y</t>
  </si>
  <si>
    <t>P = b + 2y</t>
  </si>
  <si>
    <t>R = A/P</t>
  </si>
  <si>
    <t>Design Flow</t>
  </si>
  <si>
    <t>Q Design</t>
  </si>
  <si>
    <t>Marl/
Unpaved</t>
  </si>
  <si>
    <t>Q*n/
S^0.5</t>
  </si>
  <si>
    <t>=(B.y)*((b*y)/(b+(2*y))</t>
  </si>
  <si>
    <t>Actaul Velocity</t>
  </si>
  <si>
    <t>Actaul Discharge</t>
  </si>
  <si>
    <t>CS-71</t>
  </si>
  <si>
    <t>CS-72</t>
  </si>
  <si>
    <t>CS-73</t>
  </si>
  <si>
    <t>CS-74</t>
  </si>
  <si>
    <t>CS-79</t>
  </si>
  <si>
    <t>CS-78</t>
  </si>
  <si>
    <t>CS-77</t>
  </si>
  <si>
    <t>CS-76</t>
  </si>
  <si>
    <t>CS-75</t>
  </si>
  <si>
    <t>Check</t>
  </si>
  <si>
    <t>Catchment Area (CA)</t>
  </si>
  <si>
    <r>
      <t>Time of Concentration (T</t>
    </r>
    <r>
      <rPr>
        <vertAlign val="subscript"/>
        <sz val="10"/>
        <rFont val="Arial"/>
        <family val="2"/>
      </rPr>
      <t>C</t>
    </r>
    <r>
      <rPr>
        <sz val="10"/>
        <rFont val="Arial"/>
        <family val="2"/>
      </rPr>
      <t xml:space="preserve"> = T</t>
    </r>
    <r>
      <rPr>
        <vertAlign val="subscript"/>
        <sz val="10"/>
        <rFont val="Arial"/>
        <family val="2"/>
      </rPr>
      <t>initial</t>
    </r>
    <r>
      <rPr>
        <sz val="10"/>
        <rFont val="Arial"/>
        <family val="2"/>
      </rPr>
      <t xml:space="preserve"> + T</t>
    </r>
    <r>
      <rPr>
        <vertAlign val="subscript"/>
        <sz val="10"/>
        <rFont val="Arial"/>
        <family val="2"/>
      </rPr>
      <t>Flow</t>
    </r>
    <r>
      <rPr>
        <sz val="10"/>
        <rFont val="Arial"/>
        <family val="2"/>
      </rPr>
      <t>)</t>
    </r>
  </si>
  <si>
    <t>C</t>
  </si>
  <si>
    <t>Channel Conveyance Factor</t>
  </si>
  <si>
    <t>Channel Size</t>
  </si>
  <si>
    <r>
      <t>y</t>
    </r>
    <r>
      <rPr>
        <vertAlign val="subscript"/>
        <sz val="10"/>
        <rFont val="Arial"/>
        <family val="2"/>
      </rPr>
      <t xml:space="preserve"> normal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</si>
</sst>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5" fillId="0" borderId="0" xfId="0" applyFont="1"/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/>
    <xf numFmtId="16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164" fontId="4" fillId="0" borderId="0" xfId="0" applyNumberFormat="1" applyFont="1" applyFill="1"/>
    <xf numFmtId="164" fontId="1" fillId="0" borderId="0" xfId="0" applyNumberFormat="1" applyFont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/>
    <xf numFmtId="0" fontId="6" fillId="0" borderId="0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vertical="center"/>
    </xf>
    <xf numFmtId="164" fontId="5" fillId="3" borderId="0" xfId="0" applyNumberFormat="1" applyFont="1" applyFill="1" applyBorder="1" applyAlignment="1"/>
    <xf numFmtId="164" fontId="1" fillId="3" borderId="11" xfId="0" applyNumberFormat="1" applyFont="1" applyFill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164" fontId="11" fillId="2" borderId="11" xfId="0" applyNumberFormat="1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/>
    <xf numFmtId="165" fontId="1" fillId="2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57150</xdr:colOff>
      <xdr:row>17</xdr:row>
      <xdr:rowOff>114300</xdr:rowOff>
    </xdr:from>
    <xdr:to>
      <xdr:col>45</xdr:col>
      <xdr:colOff>527187</xdr:colOff>
      <xdr:row>18</xdr:row>
      <xdr:rowOff>235008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390525"/>
          <a:ext cx="1053623" cy="32522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48</xdr:col>
      <xdr:colOff>197068</xdr:colOff>
      <xdr:row>19</xdr:row>
      <xdr:rowOff>124810</xdr:rowOff>
    </xdr:from>
    <xdr:ext cx="853965" cy="3284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9179143" y="753460"/>
              <a:ext cx="853965" cy="328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AU" sz="1000" b="0" i="0">
                  <a:latin typeface="Arial" panose="020B0604020202020204" pitchFamily="34" charset="0"/>
                  <a:cs typeface="Arial" panose="020B0604020202020204" pitchFamily="34" charset="0"/>
                </a:rPr>
                <a:t>   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n-US" sz="1000" b="0" i="0" baseline="0">
                      <a:latin typeface="Cambria Math"/>
                    </a:rPr>
                    <m:t>I</m:t>
                  </m:r>
                  <m:r>
                    <a:rPr lang="en-AU" sz="1000" b="0" i="0" baseline="0">
                      <a:latin typeface="Cambria Math"/>
                    </a:rPr>
                    <m:t>=</m:t>
                  </m:r>
                  <m:f>
                    <m:fPr>
                      <m:ctrlPr>
                        <a:rPr lang="en-AU" sz="1000" b="0" i="1" baseline="0">
                          <a:latin typeface="Cambria Math" panose="02040503050406030204" pitchFamily="18" charset="0"/>
                          <a:ea typeface="Cambria Math"/>
                        </a:rPr>
                      </m:ctrlPr>
                    </m:fPr>
                    <m:num>
                      <m:r>
                        <m:rPr>
                          <m:sty m:val="p"/>
                        </m:rPr>
                        <a:rPr lang="en-US" sz="1000" b="0" i="0" baseline="0">
                          <a:latin typeface="Cambria Math"/>
                          <a:ea typeface="Cambria Math"/>
                        </a:rPr>
                        <m:t>K</m:t>
                      </m:r>
                    </m:num>
                    <m:den>
                      <m:r>
                        <a:rPr lang="en-US" sz="1000" b="0" i="0" baseline="0">
                          <a:latin typeface="Cambria Math"/>
                          <a:ea typeface="Cambria Math"/>
                        </a:rPr>
                        <m:t>(</m:t>
                      </m:r>
                      <m:r>
                        <m:rPr>
                          <m:sty m:val="p"/>
                        </m:rPr>
                        <a:rPr lang="en-US" sz="1000" b="0" i="0" baseline="0">
                          <a:latin typeface="Cambria Math"/>
                          <a:ea typeface="Cambria Math"/>
                        </a:rPr>
                        <m:t>t</m:t>
                      </m:r>
                      <m:r>
                        <a:rPr lang="en-US" sz="1000" b="0" i="0" baseline="0">
                          <a:latin typeface="Cambria Math"/>
                          <a:ea typeface="Cambria Math"/>
                        </a:rPr>
                        <m:t>+</m:t>
                      </m:r>
                      <m:r>
                        <m:rPr>
                          <m:sty m:val="p"/>
                        </m:rPr>
                        <a:rPr lang="en-US" sz="1000" b="0" i="0" baseline="0">
                          <a:latin typeface="Cambria Math"/>
                          <a:ea typeface="Cambria Math"/>
                        </a:rPr>
                        <m:t>b</m:t>
                      </m:r>
                      <m:r>
                        <a:rPr lang="en-US" sz="1000" b="0" i="0" baseline="0">
                          <a:latin typeface="Cambria Math"/>
                          <a:ea typeface="Cambria Math"/>
                        </a:rPr>
                        <m:t>)</m:t>
                      </m:r>
                    </m:den>
                  </m:f>
                </m:oMath>
              </a14:m>
              <a:endParaRPr lang="en-US" sz="1000" b="0" i="0" baseline="100000">
                <a:latin typeface="Arial" panose="020B0604020202020204" pitchFamily="34" charset="0"/>
                <a:ea typeface="Cambria Math"/>
                <a:cs typeface="Arial" panose="020B0604020202020204" pitchFamily="34" charset="0"/>
              </a:endParaRPr>
            </a:p>
            <a:p>
              <a:endParaRPr lang="en-US" sz="1100"/>
            </a:p>
          </xdr:txBody>
        </xdr:sp>
      </mc:Choice>
      <mc:Fallback xmlns="">
        <xdr:sp macro="" textlink="">
          <xdr:nvSpPr>
            <xdr:cNvPr id="3" name="TextBox 2"/>
            <xdr:cNvSpPr txBox="1">
              <a:spLocks noChangeAspect="1"/>
            </xdr:cNvSpPr>
          </xdr:nvSpPr>
          <xdr:spPr>
            <a:xfrm>
              <a:off x="9179143" y="753460"/>
              <a:ext cx="853965" cy="328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AU" sz="1000" b="0" i="0">
                  <a:latin typeface="Arial" panose="020B0604020202020204" pitchFamily="34" charset="0"/>
                  <a:cs typeface="Arial" panose="020B0604020202020204" pitchFamily="34" charset="0"/>
                </a:rPr>
                <a:t>   </a:t>
              </a:r>
              <a:r>
                <a:rPr lang="en-US" sz="1000" b="0" i="0" baseline="0">
                  <a:latin typeface="Cambria Math"/>
                </a:rPr>
                <a:t>I</a:t>
              </a:r>
              <a:r>
                <a:rPr lang="en-AU" sz="1000" b="0" i="0" baseline="0">
                  <a:latin typeface="Cambria Math"/>
                </a:rPr>
                <a:t>=</a:t>
              </a:r>
              <a:r>
                <a:rPr lang="en-US" sz="1000" b="0" i="0" baseline="0">
                  <a:latin typeface="Cambria Math"/>
                  <a:ea typeface="Cambria Math"/>
                </a:rPr>
                <a:t>K</a:t>
              </a:r>
              <a:r>
                <a:rPr lang="en-AU" sz="1000" b="0" i="0" baseline="0">
                  <a:latin typeface="Cambria Math"/>
                  <a:ea typeface="Cambria Math"/>
                </a:rPr>
                <a:t>/(</a:t>
              </a:r>
              <a:r>
                <a:rPr lang="en-US" sz="1000" b="0" i="0" baseline="0">
                  <a:latin typeface="Cambria Math"/>
                  <a:ea typeface="Cambria Math"/>
                </a:rPr>
                <a:t>(t+b)</a:t>
              </a:r>
              <a:r>
                <a:rPr lang="en-AU" sz="1000" b="0" i="0" baseline="0">
                  <a:latin typeface="Cambria Math"/>
                  <a:ea typeface="Cambria Math"/>
                </a:rPr>
                <a:t>)</a:t>
              </a:r>
              <a:endParaRPr lang="en-US" sz="1000" b="0" i="0" baseline="100000">
                <a:latin typeface="Arial" panose="020B0604020202020204" pitchFamily="34" charset="0"/>
                <a:ea typeface="Cambria Math"/>
                <a:cs typeface="Arial" panose="020B0604020202020204" pitchFamily="34" charset="0"/>
              </a:endParaRPr>
            </a:p>
            <a:p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6"/>
  <sheetViews>
    <sheetView tabSelected="1" view="pageBreakPreview" topLeftCell="C10" zoomScaleNormal="70" zoomScaleSheetLayoutView="100" workbookViewId="0">
      <selection activeCell="AB22" sqref="AB22"/>
    </sheetView>
  </sheetViews>
  <sheetFormatPr defaultRowHeight="12.75" x14ac:dyDescent="0.2"/>
  <cols>
    <col min="1" max="1" width="2.7109375" style="7" customWidth="1"/>
    <col min="2" max="2" width="8.7109375" style="18" customWidth="1"/>
    <col min="3" max="3" width="8.7109375" style="7" customWidth="1"/>
    <col min="4" max="5" width="8.7109375" style="12" customWidth="1"/>
    <col min="6" max="6" width="9.42578125" style="12" bestFit="1" customWidth="1"/>
    <col min="7" max="22" width="8.7109375" style="12" customWidth="1"/>
    <col min="23" max="23" width="8.7109375" style="69" customWidth="1"/>
    <col min="24" max="33" width="8.7109375" style="12" customWidth="1"/>
    <col min="34" max="34" width="8.7109375" style="59" customWidth="1"/>
    <col min="35" max="36" width="8.7109375" style="7" customWidth="1"/>
    <col min="37" max="16384" width="9.140625" style="7"/>
  </cols>
  <sheetData>
    <row r="1" spans="1:34" s="2" customFormat="1" ht="20.25" x14ac:dyDescent="0.3">
      <c r="B1" s="75" t="s">
        <v>50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</row>
    <row r="2" spans="1:34" s="2" customFormat="1" ht="20.25" x14ac:dyDescent="0.3">
      <c r="B2" s="16" t="s">
        <v>51</v>
      </c>
      <c r="C2" s="36"/>
      <c r="D2" s="36"/>
      <c r="E2" s="36"/>
      <c r="F2" s="36"/>
      <c r="G2" s="36"/>
      <c r="H2" s="46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63"/>
      <c r="X2" s="43"/>
      <c r="Y2" s="46"/>
      <c r="Z2" s="46"/>
      <c r="AA2" s="46"/>
      <c r="AB2" s="46"/>
      <c r="AC2" s="46"/>
      <c r="AD2" s="46"/>
      <c r="AE2" s="43"/>
      <c r="AF2" s="43"/>
      <c r="AG2" s="43"/>
      <c r="AH2" s="50"/>
    </row>
    <row r="3" spans="1:34" s="2" customFormat="1" ht="20.25" x14ac:dyDescent="0.3">
      <c r="A3" s="15">
        <v>1</v>
      </c>
      <c r="B3" s="17" t="s">
        <v>52</v>
      </c>
      <c r="C3" s="17" t="s">
        <v>55</v>
      </c>
      <c r="D3" s="36"/>
      <c r="E3" s="36"/>
      <c r="F3" s="36"/>
      <c r="G3" s="36"/>
      <c r="H3" s="46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63"/>
      <c r="X3" s="43"/>
      <c r="Y3" s="46"/>
      <c r="Z3" s="46"/>
      <c r="AA3" s="46"/>
      <c r="AB3" s="46"/>
      <c r="AC3" s="46"/>
      <c r="AD3" s="46"/>
      <c r="AE3" s="43"/>
      <c r="AF3" s="43"/>
      <c r="AG3" s="43"/>
      <c r="AH3" s="50"/>
    </row>
    <row r="4" spans="1:34" s="2" customFormat="1" ht="20.100000000000001" customHeight="1" x14ac:dyDescent="0.3">
      <c r="A4" s="15">
        <v>2</v>
      </c>
      <c r="B4" s="17" t="s">
        <v>53</v>
      </c>
      <c r="C4" s="17" t="s">
        <v>56</v>
      </c>
      <c r="D4" s="6"/>
      <c r="E4" s="20"/>
      <c r="F4" s="21"/>
      <c r="G4" s="31"/>
      <c r="H4" s="46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63"/>
      <c r="X4" s="43"/>
      <c r="Y4" s="46"/>
      <c r="Z4" s="46"/>
      <c r="AA4" s="46"/>
      <c r="AB4" s="46"/>
      <c r="AC4" s="46"/>
      <c r="AD4" s="46"/>
      <c r="AE4" s="43"/>
      <c r="AF4" s="43"/>
      <c r="AG4" s="43"/>
      <c r="AH4" s="50"/>
    </row>
    <row r="5" spans="1:34" s="2" customFormat="1" ht="20.100000000000001" customHeight="1" x14ac:dyDescent="0.3">
      <c r="A5" s="15">
        <v>3</v>
      </c>
      <c r="B5" s="17" t="s">
        <v>54</v>
      </c>
      <c r="C5" s="17" t="s">
        <v>57</v>
      </c>
      <c r="D5" s="36"/>
      <c r="E5" s="36"/>
      <c r="F5" s="36"/>
      <c r="G5" s="36"/>
      <c r="H5" s="46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63"/>
      <c r="X5" s="43"/>
      <c r="Y5" s="46"/>
      <c r="Z5" s="46"/>
      <c r="AA5" s="46"/>
      <c r="AB5" s="46"/>
      <c r="AC5" s="46"/>
      <c r="AD5" s="46"/>
      <c r="AE5" s="43"/>
      <c r="AF5" s="43"/>
      <c r="AG5" s="43"/>
      <c r="AH5" s="50"/>
    </row>
    <row r="6" spans="1:34" s="2" customFormat="1" ht="20.100000000000001" customHeight="1" x14ac:dyDescent="0.25">
      <c r="B6" s="16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64"/>
      <c r="X6" s="4"/>
      <c r="Y6" s="4"/>
      <c r="Z6" s="4"/>
      <c r="AA6" s="4"/>
      <c r="AB6" s="4"/>
      <c r="AC6" s="4"/>
      <c r="AD6" s="4"/>
      <c r="AE6" s="4"/>
      <c r="AF6" s="4"/>
      <c r="AG6" s="4"/>
      <c r="AH6" s="51"/>
    </row>
    <row r="7" spans="1:34" s="2" customFormat="1" ht="20.100000000000001" customHeight="1" x14ac:dyDescent="0.25">
      <c r="A7" s="15">
        <v>1</v>
      </c>
      <c r="B7" s="17" t="s">
        <v>32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65"/>
      <c r="X7" s="5"/>
      <c r="Y7" s="5"/>
      <c r="Z7" s="5"/>
      <c r="AA7" s="5"/>
      <c r="AB7" s="5"/>
      <c r="AC7" s="5"/>
      <c r="AD7" s="5"/>
      <c r="AE7" s="5"/>
      <c r="AF7" s="5"/>
      <c r="AG7" s="5"/>
      <c r="AH7" s="52"/>
    </row>
    <row r="8" spans="1:34" s="2" customFormat="1" ht="20.100000000000001" customHeight="1" x14ac:dyDescent="0.25">
      <c r="A8" s="15">
        <v>2</v>
      </c>
      <c r="B8" s="17" t="s">
        <v>33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5"/>
      <c r="X8" s="5"/>
      <c r="Y8" s="5"/>
      <c r="Z8" s="5"/>
      <c r="AA8" s="5"/>
      <c r="AB8" s="5"/>
      <c r="AC8" s="5"/>
      <c r="AD8" s="5"/>
      <c r="AE8" s="5"/>
      <c r="AF8" s="5"/>
      <c r="AG8" s="5"/>
      <c r="AH8" s="52"/>
    </row>
    <row r="9" spans="1:34" s="2" customFormat="1" ht="20.100000000000001" customHeight="1" x14ac:dyDescent="0.25">
      <c r="A9" s="15">
        <v>3</v>
      </c>
      <c r="B9" s="17" t="s">
        <v>34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5"/>
      <c r="X9" s="5"/>
      <c r="Y9" s="5"/>
      <c r="Z9" s="5"/>
      <c r="AA9" s="5"/>
      <c r="AB9" s="5"/>
      <c r="AC9" s="5"/>
      <c r="AD9" s="5"/>
      <c r="AE9" s="5"/>
      <c r="AF9" s="5"/>
      <c r="AG9" s="5"/>
      <c r="AH9" s="52"/>
    </row>
    <row r="10" spans="1:34" s="2" customFormat="1" ht="20.100000000000001" customHeight="1" x14ac:dyDescent="0.25">
      <c r="A10" s="15">
        <v>4</v>
      </c>
      <c r="B10" s="17" t="s">
        <v>35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2"/>
    </row>
    <row r="11" spans="1:34" s="2" customFormat="1" ht="20.100000000000001" customHeight="1" x14ac:dyDescent="0.25">
      <c r="A11" s="15">
        <v>5</v>
      </c>
      <c r="B11" s="17" t="s">
        <v>36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2"/>
    </row>
    <row r="12" spans="1:34" s="2" customFormat="1" ht="20.100000000000001" customHeight="1" x14ac:dyDescent="0.25">
      <c r="A12" s="15">
        <v>6</v>
      </c>
      <c r="B12" s="17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6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2"/>
    </row>
    <row r="13" spans="1:34" s="2" customFormat="1" ht="20.100000000000001" customHeight="1" x14ac:dyDescent="0.25">
      <c r="A13" s="14">
        <v>7</v>
      </c>
      <c r="B13" s="17" t="s">
        <v>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66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53"/>
    </row>
    <row r="14" spans="1:34" s="2" customFormat="1" ht="20.100000000000001" customHeight="1" x14ac:dyDescent="0.25">
      <c r="B14" s="17" t="s">
        <v>5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66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</row>
    <row r="15" spans="1:34" s="2" customFormat="1" ht="20.100000000000001" customHeight="1" x14ac:dyDescent="0.25">
      <c r="B15" s="17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66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</row>
    <row r="16" spans="1:34" s="2" customFormat="1" ht="20.100000000000001" customHeight="1" x14ac:dyDescent="0.25">
      <c r="B16" s="17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66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</row>
    <row r="17" spans="2:51" s="9" customFormat="1" ht="24.95" customHeight="1" x14ac:dyDescent="0.2">
      <c r="B17" s="76" t="s">
        <v>0</v>
      </c>
      <c r="C17" s="77" t="s">
        <v>1</v>
      </c>
      <c r="D17" s="77" t="s">
        <v>2</v>
      </c>
      <c r="E17" s="77" t="s">
        <v>10</v>
      </c>
      <c r="F17" s="77" t="s">
        <v>42</v>
      </c>
      <c r="G17" s="78" t="s">
        <v>4</v>
      </c>
      <c r="H17" s="77" t="s">
        <v>37</v>
      </c>
      <c r="I17" s="70" t="s">
        <v>89</v>
      </c>
      <c r="J17" s="70"/>
      <c r="K17" s="70"/>
      <c r="L17" s="70"/>
      <c r="M17" s="70"/>
      <c r="N17" s="70"/>
      <c r="O17" s="70" t="s">
        <v>90</v>
      </c>
      <c r="P17" s="70"/>
      <c r="Q17" s="70"/>
      <c r="R17" s="70"/>
      <c r="S17" s="70"/>
      <c r="T17" s="80" t="s">
        <v>72</v>
      </c>
      <c r="U17" s="81"/>
      <c r="V17" s="80" t="s">
        <v>92</v>
      </c>
      <c r="W17" s="86"/>
      <c r="X17" s="81"/>
      <c r="Y17" s="77" t="s">
        <v>93</v>
      </c>
      <c r="Z17" s="77"/>
      <c r="AA17" s="77"/>
      <c r="AB17" s="70" t="s">
        <v>66</v>
      </c>
      <c r="AC17" s="70"/>
      <c r="AD17" s="70"/>
      <c r="AE17" s="41"/>
      <c r="AF17" s="41"/>
      <c r="AG17" s="41"/>
      <c r="AH17" s="54"/>
      <c r="AI17" s="71" t="s">
        <v>88</v>
      </c>
      <c r="AJ17" s="72"/>
    </row>
    <row r="18" spans="2:51" s="9" customFormat="1" ht="24.95" customHeight="1" x14ac:dyDescent="0.2">
      <c r="B18" s="76"/>
      <c r="C18" s="77"/>
      <c r="D18" s="77"/>
      <c r="E18" s="77"/>
      <c r="F18" s="77"/>
      <c r="G18" s="79"/>
      <c r="H18" s="77"/>
      <c r="I18" s="70" t="s">
        <v>14</v>
      </c>
      <c r="J18" s="70" t="s">
        <v>15</v>
      </c>
      <c r="K18" s="70" t="s">
        <v>74</v>
      </c>
      <c r="L18" s="70" t="s">
        <v>15</v>
      </c>
      <c r="M18" s="70" t="s">
        <v>43</v>
      </c>
      <c r="N18" s="70" t="s">
        <v>16</v>
      </c>
      <c r="O18" s="44" t="s">
        <v>18</v>
      </c>
      <c r="P18" s="44" t="s">
        <v>19</v>
      </c>
      <c r="Q18" s="44" t="s">
        <v>20</v>
      </c>
      <c r="R18" s="44" t="s">
        <v>17</v>
      </c>
      <c r="S18" s="44" t="s">
        <v>21</v>
      </c>
      <c r="T18" s="82"/>
      <c r="U18" s="83"/>
      <c r="V18" s="82"/>
      <c r="W18" s="87"/>
      <c r="X18" s="83"/>
      <c r="Y18" s="45" t="s">
        <v>62</v>
      </c>
      <c r="Z18" s="45" t="s">
        <v>64</v>
      </c>
      <c r="AA18" s="45" t="s">
        <v>65</v>
      </c>
      <c r="AB18" s="44" t="s">
        <v>68</v>
      </c>
      <c r="AC18" s="44" t="s">
        <v>67</v>
      </c>
      <c r="AD18" s="49" t="s">
        <v>11</v>
      </c>
      <c r="AE18" s="48" t="s">
        <v>77</v>
      </c>
      <c r="AF18" s="48" t="s">
        <v>78</v>
      </c>
      <c r="AG18" s="48" t="s">
        <v>78</v>
      </c>
      <c r="AH18" s="55"/>
      <c r="AI18" s="73"/>
      <c r="AJ18" s="74"/>
      <c r="AP18" s="38"/>
      <c r="AQ18" s="38"/>
      <c r="AR18" s="38"/>
      <c r="AS18" s="38"/>
      <c r="AT18" s="38"/>
      <c r="AU18" s="38"/>
      <c r="AV18" s="38"/>
      <c r="AW18" s="38"/>
      <c r="AX18" s="38"/>
      <c r="AY18" s="38"/>
    </row>
    <row r="19" spans="2:51" s="9" customFormat="1" ht="50.1" customHeight="1" x14ac:dyDescent="0.2">
      <c r="B19" s="76"/>
      <c r="C19" s="77"/>
      <c r="D19" s="77"/>
      <c r="E19" s="37" t="s">
        <v>12</v>
      </c>
      <c r="F19" s="37" t="s">
        <v>38</v>
      </c>
      <c r="G19" s="37" t="s">
        <v>39</v>
      </c>
      <c r="H19" s="47" t="s">
        <v>40</v>
      </c>
      <c r="I19" s="70"/>
      <c r="J19" s="70"/>
      <c r="K19" s="70"/>
      <c r="L19" s="70"/>
      <c r="M19" s="70"/>
      <c r="N19" s="70"/>
      <c r="O19" s="42" t="s">
        <v>46</v>
      </c>
      <c r="P19" s="42" t="s">
        <v>47</v>
      </c>
      <c r="Q19" s="42" t="s">
        <v>47</v>
      </c>
      <c r="R19" s="42" t="s">
        <v>48</v>
      </c>
      <c r="S19" s="42" t="s">
        <v>22</v>
      </c>
      <c r="T19" s="84" t="s">
        <v>73</v>
      </c>
      <c r="U19" s="85"/>
      <c r="V19" s="60" t="s">
        <v>75</v>
      </c>
      <c r="W19" s="61" t="s">
        <v>76</v>
      </c>
      <c r="X19" s="48" t="s">
        <v>94</v>
      </c>
      <c r="Y19" s="47" t="s">
        <v>61</v>
      </c>
      <c r="Z19" s="47" t="s">
        <v>63</v>
      </c>
      <c r="AA19" s="47" t="s">
        <v>58</v>
      </c>
      <c r="AB19" s="44" t="s">
        <v>69</v>
      </c>
      <c r="AC19" s="44" t="s">
        <v>70</v>
      </c>
      <c r="AD19" s="49" t="s">
        <v>71</v>
      </c>
      <c r="AE19" s="40"/>
      <c r="AF19" s="40"/>
      <c r="AG19" s="40"/>
      <c r="AH19" s="56"/>
      <c r="AI19" s="19" t="s">
        <v>59</v>
      </c>
      <c r="AJ19" s="19" t="s">
        <v>60</v>
      </c>
      <c r="AP19" s="26" t="s">
        <v>23</v>
      </c>
      <c r="AQ19" s="25"/>
      <c r="AR19" s="24"/>
      <c r="AS19" s="24"/>
      <c r="AT19" s="25"/>
      <c r="AU19" s="39" t="s">
        <v>24</v>
      </c>
      <c r="AV19" s="39"/>
      <c r="AW19" s="24" t="s">
        <v>25</v>
      </c>
      <c r="AX19" s="24"/>
      <c r="AY19" s="25"/>
    </row>
    <row r="20" spans="2:51" s="9" customFormat="1" ht="24.95" customHeight="1" x14ac:dyDescent="0.2">
      <c r="B20" s="76"/>
      <c r="C20" s="77"/>
      <c r="D20" s="77"/>
      <c r="E20" s="37" t="s">
        <v>3</v>
      </c>
      <c r="F20" s="37" t="s">
        <v>3</v>
      </c>
      <c r="G20" s="37" t="s">
        <v>3</v>
      </c>
      <c r="H20" s="47"/>
      <c r="I20" s="42" t="s">
        <v>41</v>
      </c>
      <c r="J20" s="42" t="s">
        <v>91</v>
      </c>
      <c r="K20" s="42" t="s">
        <v>41</v>
      </c>
      <c r="L20" s="42" t="s">
        <v>91</v>
      </c>
      <c r="M20" s="42" t="s">
        <v>41</v>
      </c>
      <c r="N20" s="42" t="s">
        <v>41</v>
      </c>
      <c r="O20" s="42" t="s">
        <v>44</v>
      </c>
      <c r="P20" s="42" t="s">
        <v>44</v>
      </c>
      <c r="Q20" s="42" t="s">
        <v>44</v>
      </c>
      <c r="R20" s="42" t="s">
        <v>44</v>
      </c>
      <c r="S20" s="42" t="s">
        <v>45</v>
      </c>
      <c r="T20" s="42" t="s">
        <v>49</v>
      </c>
      <c r="U20" s="42" t="s">
        <v>8</v>
      </c>
      <c r="V20" s="42"/>
      <c r="W20" s="67"/>
      <c r="X20" s="42" t="s">
        <v>3</v>
      </c>
      <c r="Y20" s="47" t="s">
        <v>3</v>
      </c>
      <c r="Z20" s="47" t="s">
        <v>3</v>
      </c>
      <c r="AA20" s="47" t="s">
        <v>3</v>
      </c>
      <c r="AB20" s="44" t="s">
        <v>41</v>
      </c>
      <c r="AC20" s="44" t="s">
        <v>3</v>
      </c>
      <c r="AD20" s="44" t="s">
        <v>8</v>
      </c>
      <c r="AE20" s="42"/>
      <c r="AF20" s="42"/>
      <c r="AG20" s="42"/>
      <c r="AH20" s="56"/>
      <c r="AI20" s="37"/>
      <c r="AJ20" s="19"/>
      <c r="AP20" s="26"/>
      <c r="AQ20" s="25"/>
      <c r="AR20" s="24"/>
      <c r="AS20" s="24"/>
      <c r="AT20" s="25"/>
      <c r="AU20" s="25"/>
      <c r="AV20" s="25"/>
      <c r="AW20" s="24"/>
      <c r="AX20" s="24"/>
      <c r="AY20" s="25"/>
    </row>
    <row r="21" spans="2:51" s="10" customFormat="1" ht="20.100000000000001" customHeight="1" x14ac:dyDescent="0.2">
      <c r="B21" s="33" t="s">
        <v>13</v>
      </c>
      <c r="C21" s="34"/>
      <c r="D21" s="34"/>
      <c r="E21" s="34"/>
      <c r="F21" s="34"/>
      <c r="G21" s="34"/>
      <c r="H21" s="34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4"/>
      <c r="U21" s="34"/>
      <c r="V21" s="34"/>
      <c r="W21" s="68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57"/>
      <c r="AI21" s="34"/>
      <c r="AP21" s="22" t="s">
        <v>26</v>
      </c>
      <c r="AQ21" s="25"/>
      <c r="AR21" s="24"/>
      <c r="AS21" s="24"/>
      <c r="AT21" s="25"/>
      <c r="AU21" s="23" t="s">
        <v>21</v>
      </c>
      <c r="AV21" s="23"/>
      <c r="AW21" s="23"/>
      <c r="AX21" s="23"/>
      <c r="AY21" s="23"/>
    </row>
    <row r="22" spans="2:51" s="11" customFormat="1" ht="20.100000000000001" customHeight="1" x14ac:dyDescent="0.2">
      <c r="B22" s="32">
        <v>1</v>
      </c>
      <c r="C22" s="8" t="s">
        <v>79</v>
      </c>
      <c r="D22" s="8" t="s">
        <v>80</v>
      </c>
      <c r="E22" s="8">
        <v>10</v>
      </c>
      <c r="F22" s="8">
        <v>100</v>
      </c>
      <c r="G22" s="8">
        <f>E22/F22</f>
        <v>0.1</v>
      </c>
      <c r="H22" s="8">
        <v>1.4999999999999999E-2</v>
      </c>
      <c r="I22" s="8">
        <f>422.978+349.209</f>
        <v>772.18700000000001</v>
      </c>
      <c r="J22" s="8">
        <v>0.9</v>
      </c>
      <c r="K22" s="8">
        <v>0</v>
      </c>
      <c r="L22" s="8">
        <v>0.6</v>
      </c>
      <c r="M22" s="8">
        <f>(I22*J22)+(K22*L22)</f>
        <v>694.9683</v>
      </c>
      <c r="N22" s="8">
        <f>M22</f>
        <v>694.9683</v>
      </c>
      <c r="O22" s="8">
        <v>10</v>
      </c>
      <c r="P22" s="8"/>
      <c r="Q22" s="8"/>
      <c r="R22" s="8">
        <f>O22</f>
        <v>10</v>
      </c>
      <c r="S22" s="8">
        <f>2443/(R22+27.5)</f>
        <v>65.146666666666661</v>
      </c>
      <c r="T22" s="8">
        <f>N22*(S22/1000)</f>
        <v>45.274868183999992</v>
      </c>
      <c r="U22" s="8">
        <f>T22/3600</f>
        <v>1.2576352273333331E-2</v>
      </c>
      <c r="V22" s="62">
        <f>((U22*H22)/(((1/F22)^0.5)))</f>
        <v>1.8864528409999995E-3</v>
      </c>
      <c r="W22" s="62">
        <f>(AA22*X22)*(((AA22*X22)/(AA22+(2*X22)))^(2/3))</f>
        <v>1.3586373827244389E-3</v>
      </c>
      <c r="X22" s="8">
        <v>6.0447332263743207E-2</v>
      </c>
      <c r="Y22" s="8">
        <f>X22</f>
        <v>6.0447332263743207E-2</v>
      </c>
      <c r="Z22" s="8">
        <f>Y22*2</f>
        <v>0.12089466452748641</v>
      </c>
      <c r="AA22" s="8">
        <v>0.2</v>
      </c>
      <c r="AB22" s="8">
        <f>Z22*Y22</f>
        <v>7.3077599556067409E-3</v>
      </c>
      <c r="AC22" s="8">
        <f>Z22+(2*Y22)</f>
        <v>0.24178932905497283</v>
      </c>
      <c r="AD22" s="13">
        <f>AB22/AC22</f>
        <v>3.0223666131871604E-2</v>
      </c>
      <c r="AE22" s="8">
        <f>(1/H22)*(AD22^(2/3)*((1/F22)^0.5))</f>
        <v>0.64685484644034053</v>
      </c>
      <c r="AF22" s="8">
        <f>AE22*AB22</f>
        <v>4.7270599439068681E-3</v>
      </c>
      <c r="AG22" s="8">
        <f>AF22*3600</f>
        <v>17.017415798064725</v>
      </c>
      <c r="AH22" s="58"/>
      <c r="AI22" s="13" t="str">
        <f>IF(AG22&gt;T22,"SAFE","UNSAFE")</f>
        <v>UNSAFE</v>
      </c>
      <c r="AJ22" s="13" t="e">
        <f>IF(#REF!&gt;0.9,"SAFE","UNSAFE")</f>
        <v>#REF!</v>
      </c>
      <c r="AP22" s="26"/>
      <c r="AQ22" s="25"/>
      <c r="AR22" s="24"/>
      <c r="AS22" s="24"/>
      <c r="AT22" s="25"/>
      <c r="AU22" s="23"/>
      <c r="AV22" s="23"/>
      <c r="AW22" s="23"/>
      <c r="AX22" s="23"/>
      <c r="AY22" s="23"/>
    </row>
    <row r="23" spans="2:51" s="11" customFormat="1" ht="20.100000000000001" customHeight="1" x14ac:dyDescent="0.2">
      <c r="B23" s="32">
        <v>2</v>
      </c>
      <c r="C23" s="8" t="s">
        <v>80</v>
      </c>
      <c r="D23" s="8" t="s">
        <v>81</v>
      </c>
      <c r="E23" s="8">
        <v>25</v>
      </c>
      <c r="F23" s="8">
        <v>240</v>
      </c>
      <c r="G23" s="8">
        <f t="shared" ref="G23:G29" si="0">E23/F23</f>
        <v>0.10416666666666667</v>
      </c>
      <c r="H23" s="8">
        <v>1.4999999999999999E-2</v>
      </c>
      <c r="I23" s="8">
        <f>2222.192+436.234</f>
        <v>2658.4259999999999</v>
      </c>
      <c r="J23" s="8">
        <v>0.9</v>
      </c>
      <c r="K23" s="8">
        <v>0</v>
      </c>
      <c r="L23" s="8">
        <v>0.6</v>
      </c>
      <c r="M23" s="8">
        <f t="shared" ref="M23:M29" si="1">(I23*J23)+(K23*L23)</f>
        <v>2392.5834</v>
      </c>
      <c r="N23" s="8">
        <f>N22+M23</f>
        <v>3087.5517</v>
      </c>
      <c r="O23" s="8"/>
      <c r="P23" s="8">
        <f>(E22/AE22)/60</f>
        <v>0.25765698067168824</v>
      </c>
      <c r="Q23" s="8">
        <f>Q22+P23</f>
        <v>0.25765698067168824</v>
      </c>
      <c r="R23" s="8">
        <f>R22+Q23</f>
        <v>10.257656980671689</v>
      </c>
      <c r="S23" s="8">
        <f t="shared" ref="S23:S29" si="2">2443/(R23+27.5)</f>
        <v>64.702108005551892</v>
      </c>
      <c r="T23" s="8">
        <f t="shared" ref="T23:T29" si="3">N23*(S23/1000)</f>
        <v>199.77110356612533</v>
      </c>
      <c r="U23" s="8">
        <f t="shared" ref="U23:U29" si="4">T23/3600</f>
        <v>5.5491973212812594E-2</v>
      </c>
      <c r="V23" s="62">
        <f>((U23*H23)/(((1/F23)^0.5)))</f>
        <v>1.2895169286084677E-2</v>
      </c>
      <c r="W23" s="62">
        <f t="shared" ref="W23:W29" si="5">(AA23*X23)*(((AA23*X23)/(AA23+(2*X23)))^(2/3))</f>
        <v>5.5414228994774073E-3</v>
      </c>
      <c r="X23" s="8">
        <v>0.11438155029082619</v>
      </c>
      <c r="Y23" s="8">
        <f t="shared" ref="Y23:Y29" si="6">X23</f>
        <v>0.11438155029082619</v>
      </c>
      <c r="Z23" s="8">
        <f t="shared" ref="Z23:Z29" si="7">Y23*2</f>
        <v>0.22876310058165239</v>
      </c>
      <c r="AA23" s="8">
        <f t="shared" ref="AA23:AA29" si="8">ROUNDUP(Z23,1)</f>
        <v>0.30000000000000004</v>
      </c>
      <c r="AB23" s="8">
        <f t="shared" ref="AB23:AB29" si="9">AA23*Y23</f>
        <v>3.4314465087247864E-2</v>
      </c>
      <c r="AC23" s="8">
        <f t="shared" ref="AC23:AC29" si="10">AA23+(2*Y23)</f>
        <v>0.52876310058165243</v>
      </c>
      <c r="AD23" s="13">
        <f t="shared" ref="AD23:AD29" si="11">AB23/AC23</f>
        <v>6.4895725608502389E-2</v>
      </c>
      <c r="AE23" s="8">
        <f>(1/H23)*(AD23^(2/3)*((1/F23)^0.5))</f>
        <v>0.69493979513044057</v>
      </c>
      <c r="AF23" s="8">
        <f t="shared" ref="AF23:AF29" si="12">AE23*AB23</f>
        <v>2.3846487337742688E-2</v>
      </c>
      <c r="AG23" s="8">
        <f t="shared" ref="AG23:AG29" si="13">AF23*3600</f>
        <v>85.847354415873681</v>
      </c>
      <c r="AH23" s="58"/>
      <c r="AI23" s="13" t="e">
        <f>IF(#REF!&gt;#REF!,"SAFE","UNSAFE")</f>
        <v>#REF!</v>
      </c>
      <c r="AJ23" s="13" t="e">
        <f>IF(#REF!&gt;0.9,"SAFE","UNSAFE")</f>
        <v>#REF!</v>
      </c>
      <c r="AP23" s="22" t="s">
        <v>27</v>
      </c>
      <c r="AQ23" s="25"/>
      <c r="AR23" s="24"/>
      <c r="AS23" s="24"/>
      <c r="AT23" s="25"/>
      <c r="AU23" s="23" t="s">
        <v>28</v>
      </c>
      <c r="AV23" s="23"/>
      <c r="AW23" s="23" t="s">
        <v>29</v>
      </c>
      <c r="AX23" s="23" t="s">
        <v>30</v>
      </c>
      <c r="AY23" s="23"/>
    </row>
    <row r="24" spans="2:51" s="11" customFormat="1" ht="20.100000000000001" customHeight="1" thickBot="1" x14ac:dyDescent="0.25">
      <c r="B24" s="32">
        <v>3</v>
      </c>
      <c r="C24" s="8" t="s">
        <v>81</v>
      </c>
      <c r="D24" s="8" t="s">
        <v>82</v>
      </c>
      <c r="E24" s="8">
        <v>22</v>
      </c>
      <c r="F24" s="8">
        <v>200</v>
      </c>
      <c r="G24" s="8">
        <f t="shared" si="0"/>
        <v>0.11</v>
      </c>
      <c r="H24" s="8">
        <v>1.4999999999999999E-2</v>
      </c>
      <c r="I24" s="8">
        <v>0</v>
      </c>
      <c r="J24" s="8">
        <v>0.9</v>
      </c>
      <c r="K24" s="8">
        <v>0</v>
      </c>
      <c r="L24" s="8">
        <v>0.6</v>
      </c>
      <c r="M24" s="8">
        <f t="shared" si="1"/>
        <v>0</v>
      </c>
      <c r="N24" s="8">
        <f>N23+M24</f>
        <v>3087.5517</v>
      </c>
      <c r="O24" s="8"/>
      <c r="P24" s="8">
        <f>(E23/AE23)/60</f>
        <v>0.59957232207209854</v>
      </c>
      <c r="Q24" s="8">
        <f t="shared" ref="Q24:Q29" si="14">Q23+P24</f>
        <v>0.85722930274378673</v>
      </c>
      <c r="R24" s="8">
        <f t="shared" ref="R24:R29" si="15">R23+Q24</f>
        <v>11.114886283415476</v>
      </c>
      <c r="S24" s="8">
        <f t="shared" si="2"/>
        <v>63.265756684339443</v>
      </c>
      <c r="T24" s="8">
        <f t="shared" si="3"/>
        <v>195.33629460251859</v>
      </c>
      <c r="U24" s="8">
        <f t="shared" si="4"/>
        <v>5.4260081834032942E-2</v>
      </c>
      <c r="V24" s="62">
        <f>((U24*H24)/(((1/F24)^0.5)))</f>
        <v>1.1510301543774507E-2</v>
      </c>
      <c r="W24" s="62">
        <f t="shared" si="5"/>
        <v>5.5414228994774073E-3</v>
      </c>
      <c r="X24" s="8">
        <v>0.11438155029082619</v>
      </c>
      <c r="Y24" s="8">
        <f t="shared" si="6"/>
        <v>0.11438155029082619</v>
      </c>
      <c r="Z24" s="8">
        <f t="shared" si="7"/>
        <v>0.22876310058165239</v>
      </c>
      <c r="AA24" s="8">
        <f t="shared" si="8"/>
        <v>0.30000000000000004</v>
      </c>
      <c r="AB24" s="8">
        <f t="shared" si="9"/>
        <v>3.4314465087247864E-2</v>
      </c>
      <c r="AC24" s="8">
        <f t="shared" si="10"/>
        <v>0.52876310058165243</v>
      </c>
      <c r="AD24" s="13">
        <f t="shared" si="11"/>
        <v>6.4895725608502389E-2</v>
      </c>
      <c r="AE24" s="8">
        <f>(1/H24)*(AD24^(2/3)*((1/F24)^0.5))</f>
        <v>0.76126840380192218</v>
      </c>
      <c r="AF24" s="8">
        <f t="shared" si="12"/>
        <v>2.6122518064285966E-2</v>
      </c>
      <c r="AG24" s="8">
        <f t="shared" si="13"/>
        <v>94.041065031429483</v>
      </c>
      <c r="AH24" s="58"/>
      <c r="AI24" s="13" t="e">
        <f>IF(#REF!&gt;#REF!,"SAFE","UNSAFE")</f>
        <v>#REF!</v>
      </c>
      <c r="AJ24" s="13" t="e">
        <f>IF(#REF!&gt;0.9,"SAFE","UNSAFE")</f>
        <v>#REF!</v>
      </c>
      <c r="AP24" s="27"/>
      <c r="AQ24" s="28"/>
      <c r="AR24" s="29"/>
      <c r="AS24" s="29"/>
      <c r="AT24" s="28"/>
      <c r="AU24" s="30" t="s">
        <v>31</v>
      </c>
      <c r="AV24" s="30"/>
      <c r="AW24" s="30"/>
      <c r="AX24" s="30"/>
      <c r="AY24" s="30"/>
    </row>
    <row r="25" spans="2:51" s="11" customFormat="1" ht="20.100000000000001" customHeight="1" x14ac:dyDescent="0.2">
      <c r="B25" s="3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62"/>
      <c r="X25" s="8"/>
      <c r="Y25" s="8"/>
      <c r="Z25" s="8"/>
      <c r="AA25" s="8"/>
      <c r="AB25" s="8"/>
      <c r="AC25" s="8"/>
      <c r="AD25" s="13"/>
      <c r="AE25" s="8"/>
      <c r="AF25" s="8"/>
      <c r="AG25" s="8"/>
      <c r="AH25" s="58"/>
      <c r="AI25" s="13"/>
      <c r="AJ25" s="13"/>
      <c r="AP25" s="25"/>
      <c r="AQ25" s="25"/>
      <c r="AR25" s="24"/>
      <c r="AS25" s="24"/>
      <c r="AT25" s="25"/>
      <c r="AU25" s="23"/>
      <c r="AV25" s="23"/>
      <c r="AW25" s="23"/>
      <c r="AX25" s="23"/>
      <c r="AY25" s="23"/>
    </row>
    <row r="26" spans="2:51" s="11" customFormat="1" ht="20.100000000000001" customHeight="1" x14ac:dyDescent="0.2">
      <c r="B26" s="32">
        <v>4</v>
      </c>
      <c r="C26" s="8" t="s">
        <v>83</v>
      </c>
      <c r="D26" s="8" t="s">
        <v>84</v>
      </c>
      <c r="E26" s="8">
        <v>36</v>
      </c>
      <c r="F26" s="8">
        <v>240</v>
      </c>
      <c r="G26" s="8">
        <f t="shared" si="0"/>
        <v>0.15</v>
      </c>
      <c r="H26" s="8">
        <v>1.4999999999999999E-2</v>
      </c>
      <c r="I26" s="8">
        <v>0</v>
      </c>
      <c r="J26" s="8">
        <v>0.9</v>
      </c>
      <c r="K26" s="8">
        <v>0</v>
      </c>
      <c r="L26" s="8">
        <v>0.6</v>
      </c>
      <c r="M26" s="8">
        <f t="shared" si="1"/>
        <v>0</v>
      </c>
      <c r="N26" s="8">
        <f>N24+M26</f>
        <v>3087.5517</v>
      </c>
      <c r="O26" s="8">
        <v>10</v>
      </c>
      <c r="P26" s="8"/>
      <c r="Q26" s="8"/>
      <c r="R26" s="8">
        <f>R24+Q26</f>
        <v>11.114886283415476</v>
      </c>
      <c r="S26" s="8">
        <f t="shared" si="2"/>
        <v>63.265756684339443</v>
      </c>
      <c r="T26" s="8">
        <f t="shared" si="3"/>
        <v>195.33629460251859</v>
      </c>
      <c r="U26" s="8">
        <f t="shared" si="4"/>
        <v>5.4260081834032942E-2</v>
      </c>
      <c r="V26" s="62">
        <f>((U26*H26)/(((1/F26)^0.5)))</f>
        <v>1.2608903598423671E-2</v>
      </c>
      <c r="W26" s="62">
        <f t="shared" si="5"/>
        <v>5.5414228994774073E-3</v>
      </c>
      <c r="X26" s="8">
        <v>0.11438155029082619</v>
      </c>
      <c r="Y26" s="8">
        <f t="shared" si="6"/>
        <v>0.11438155029082619</v>
      </c>
      <c r="Z26" s="8">
        <f t="shared" si="7"/>
        <v>0.22876310058165239</v>
      </c>
      <c r="AA26" s="8">
        <f t="shared" si="8"/>
        <v>0.30000000000000004</v>
      </c>
      <c r="AB26" s="8">
        <f t="shared" si="9"/>
        <v>3.4314465087247864E-2</v>
      </c>
      <c r="AC26" s="8">
        <f t="shared" si="10"/>
        <v>0.52876310058165243</v>
      </c>
      <c r="AD26" s="13">
        <f t="shared" si="11"/>
        <v>6.4895725608502389E-2</v>
      </c>
      <c r="AE26" s="8">
        <f>(1/H26)*(AD26^(2/3)*((1/F26)^0.5))</f>
        <v>0.69493979513044057</v>
      </c>
      <c r="AF26" s="8">
        <f t="shared" si="12"/>
        <v>2.3846487337742688E-2</v>
      </c>
      <c r="AG26" s="8">
        <f t="shared" si="13"/>
        <v>85.847354415873681</v>
      </c>
      <c r="AH26" s="58"/>
      <c r="AI26" s="13" t="e">
        <f>IF(#REF!&gt;#REF!,"SAFE","UNSAFE")</f>
        <v>#REF!</v>
      </c>
      <c r="AJ26" s="13" t="e">
        <f>IF(#REF!&gt;0.9,"SAFE","UNSAFE")</f>
        <v>#REF!</v>
      </c>
    </row>
    <row r="27" spans="2:51" s="1" customFormat="1" ht="20.100000000000001" customHeight="1" x14ac:dyDescent="0.2">
      <c r="B27" s="32">
        <v>4</v>
      </c>
      <c r="C27" s="8" t="s">
        <v>85</v>
      </c>
      <c r="D27" s="8" t="s">
        <v>86</v>
      </c>
      <c r="E27" s="8">
        <v>36</v>
      </c>
      <c r="F27" s="8">
        <v>240</v>
      </c>
      <c r="G27" s="8">
        <f t="shared" si="0"/>
        <v>0.15</v>
      </c>
      <c r="H27" s="8">
        <v>1.4999999999999999E-2</v>
      </c>
      <c r="I27" s="8">
        <v>0</v>
      </c>
      <c r="J27" s="8">
        <v>0.9</v>
      </c>
      <c r="K27" s="8">
        <v>0</v>
      </c>
      <c r="L27" s="8">
        <v>0.6</v>
      </c>
      <c r="M27" s="8">
        <f t="shared" si="1"/>
        <v>0</v>
      </c>
      <c r="N27" s="8">
        <f t="shared" ref="N27:N29" si="16">N26+M27</f>
        <v>3087.5517</v>
      </c>
      <c r="O27" s="8"/>
      <c r="P27" s="8">
        <f>(E26/AE26)/60</f>
        <v>0.86338414378382189</v>
      </c>
      <c r="Q27" s="8">
        <f t="shared" si="14"/>
        <v>0.86338414378382189</v>
      </c>
      <c r="R27" s="8">
        <f t="shared" si="15"/>
        <v>11.978270427199298</v>
      </c>
      <c r="S27" s="8">
        <f t="shared" si="2"/>
        <v>61.882143608724284</v>
      </c>
      <c r="T27" s="8">
        <f t="shared" si="3"/>
        <v>191.06431769876082</v>
      </c>
      <c r="U27" s="8">
        <f t="shared" si="4"/>
        <v>5.3073421582989118E-2</v>
      </c>
      <c r="V27" s="62">
        <f>((U27*H27)/(((1/F27)^0.5)))</f>
        <v>1.2333148675029729E-2</v>
      </c>
      <c r="W27" s="62">
        <f t="shared" si="5"/>
        <v>5.5414228994774073E-3</v>
      </c>
      <c r="X27" s="8">
        <v>0.11438155029082619</v>
      </c>
      <c r="Y27" s="8">
        <f t="shared" si="6"/>
        <v>0.11438155029082619</v>
      </c>
      <c r="Z27" s="8">
        <f t="shared" si="7"/>
        <v>0.22876310058165239</v>
      </c>
      <c r="AA27" s="8">
        <f t="shared" si="8"/>
        <v>0.30000000000000004</v>
      </c>
      <c r="AB27" s="8">
        <f t="shared" si="9"/>
        <v>3.4314465087247864E-2</v>
      </c>
      <c r="AC27" s="8">
        <f t="shared" si="10"/>
        <v>0.52876310058165243</v>
      </c>
      <c r="AD27" s="13">
        <f t="shared" si="11"/>
        <v>6.4895725608502389E-2</v>
      </c>
      <c r="AE27" s="8">
        <f>(1/H27)*(AD27^(2/3)*((1/F27)^0.5))</f>
        <v>0.69493979513044057</v>
      </c>
      <c r="AF27" s="8">
        <f t="shared" si="12"/>
        <v>2.3846487337742688E-2</v>
      </c>
      <c r="AG27" s="8">
        <f t="shared" si="13"/>
        <v>85.847354415873681</v>
      </c>
      <c r="AH27" s="58"/>
      <c r="AI27" s="13" t="e">
        <f>IF(#REF!&gt;#REF!,"SAFE","UNSAFE")</f>
        <v>#REF!</v>
      </c>
      <c r="AJ27" s="13" t="e">
        <f>IF(#REF!&gt;0.9,"SAFE","UNSAFE")</f>
        <v>#REF!</v>
      </c>
    </row>
    <row r="28" spans="2:51" ht="20.100000000000001" customHeight="1" x14ac:dyDescent="0.2">
      <c r="B28" s="32">
        <v>4</v>
      </c>
      <c r="C28" s="8" t="s">
        <v>86</v>
      </c>
      <c r="D28" s="8" t="s">
        <v>87</v>
      </c>
      <c r="E28" s="8">
        <v>36</v>
      </c>
      <c r="F28" s="8">
        <v>240</v>
      </c>
      <c r="G28" s="8">
        <f t="shared" si="0"/>
        <v>0.15</v>
      </c>
      <c r="H28" s="8">
        <v>1.4999999999999999E-2</v>
      </c>
      <c r="I28" s="8">
        <v>0</v>
      </c>
      <c r="J28" s="8">
        <v>0.9</v>
      </c>
      <c r="K28" s="8">
        <v>0</v>
      </c>
      <c r="L28" s="8">
        <v>0.6</v>
      </c>
      <c r="M28" s="8">
        <f t="shared" si="1"/>
        <v>0</v>
      </c>
      <c r="N28" s="8">
        <f t="shared" si="16"/>
        <v>3087.5517</v>
      </c>
      <c r="O28" s="8"/>
      <c r="P28" s="8">
        <f>(E27/AE27)/60</f>
        <v>0.86338414378382189</v>
      </c>
      <c r="Q28" s="8">
        <f t="shared" si="14"/>
        <v>1.7267682875676438</v>
      </c>
      <c r="R28" s="8">
        <f t="shared" si="15"/>
        <v>13.705038714766943</v>
      </c>
      <c r="S28" s="8">
        <f t="shared" si="2"/>
        <v>59.288865541691258</v>
      </c>
      <c r="T28" s="8">
        <f t="shared" si="3"/>
        <v>183.05743759432025</v>
      </c>
      <c r="U28" s="8">
        <f t="shared" si="4"/>
        <v>5.0849288220644516E-2</v>
      </c>
      <c r="V28" s="62">
        <f>((U28*H28)/(((1/F28)^0.5)))</f>
        <v>1.1816306786703432E-2</v>
      </c>
      <c r="W28" s="62">
        <f t="shared" si="5"/>
        <v>5.5414228994774073E-3</v>
      </c>
      <c r="X28" s="8">
        <v>0.11438155029082619</v>
      </c>
      <c r="Y28" s="8">
        <f t="shared" si="6"/>
        <v>0.11438155029082619</v>
      </c>
      <c r="Z28" s="8">
        <f t="shared" si="7"/>
        <v>0.22876310058165239</v>
      </c>
      <c r="AA28" s="8">
        <f t="shared" si="8"/>
        <v>0.30000000000000004</v>
      </c>
      <c r="AB28" s="8">
        <f t="shared" si="9"/>
        <v>3.4314465087247864E-2</v>
      </c>
      <c r="AC28" s="8">
        <f t="shared" si="10"/>
        <v>0.52876310058165243</v>
      </c>
      <c r="AD28" s="13">
        <f t="shared" si="11"/>
        <v>6.4895725608502389E-2</v>
      </c>
      <c r="AE28" s="8">
        <f>(1/H28)*(AD28^(2/3)*((1/F28)^0.5))</f>
        <v>0.69493979513044057</v>
      </c>
      <c r="AF28" s="8">
        <f t="shared" si="12"/>
        <v>2.3846487337742688E-2</v>
      </c>
      <c r="AG28" s="8">
        <f t="shared" si="13"/>
        <v>85.847354415873681</v>
      </c>
      <c r="AH28" s="58"/>
      <c r="AI28" s="13" t="e">
        <f>IF(#REF!&gt;#REF!,"SAFE","UNSAFE")</f>
        <v>#REF!</v>
      </c>
      <c r="AJ28" s="13" t="e">
        <f>IF(#REF!&gt;0.9,"SAFE","UNSAFE")</f>
        <v>#REF!</v>
      </c>
    </row>
    <row r="29" spans="2:51" ht="20.100000000000001" customHeight="1" x14ac:dyDescent="0.2">
      <c r="B29" s="32">
        <v>4</v>
      </c>
      <c r="C29" s="8" t="s">
        <v>87</v>
      </c>
      <c r="D29" s="8" t="s">
        <v>82</v>
      </c>
      <c r="E29" s="8">
        <v>36</v>
      </c>
      <c r="F29" s="8">
        <v>240</v>
      </c>
      <c r="G29" s="8">
        <f t="shared" si="0"/>
        <v>0.15</v>
      </c>
      <c r="H29" s="8">
        <v>1.4999999999999999E-2</v>
      </c>
      <c r="I29" s="8">
        <v>232</v>
      </c>
      <c r="J29" s="8">
        <v>0.9</v>
      </c>
      <c r="K29" s="8">
        <v>232</v>
      </c>
      <c r="L29" s="8">
        <v>0.6</v>
      </c>
      <c r="M29" s="8">
        <f t="shared" si="1"/>
        <v>348</v>
      </c>
      <c r="N29" s="8">
        <f t="shared" si="16"/>
        <v>3435.5517</v>
      </c>
      <c r="O29" s="8"/>
      <c r="P29" s="8">
        <f>(E28/AE28)/60</f>
        <v>0.86338414378382189</v>
      </c>
      <c r="Q29" s="8">
        <f t="shared" si="14"/>
        <v>2.5901524313514654</v>
      </c>
      <c r="R29" s="8">
        <f t="shared" si="15"/>
        <v>16.295191146118409</v>
      </c>
      <c r="S29" s="8">
        <f t="shared" si="2"/>
        <v>55.782380121350933</v>
      </c>
      <c r="T29" s="8">
        <f t="shared" si="3"/>
        <v>191.64325085595343</v>
      </c>
      <c r="U29" s="8">
        <f t="shared" si="4"/>
        <v>5.3234236348875953E-2</v>
      </c>
      <c r="V29" s="62">
        <f>((U29*H29)/(((1/F29)^0.5)))</f>
        <v>1.2370518649635967E-2</v>
      </c>
      <c r="W29" s="62">
        <f t="shared" si="5"/>
        <v>5.5414228994774073E-3</v>
      </c>
      <c r="X29" s="8">
        <v>0.11438155029082619</v>
      </c>
      <c r="Y29" s="8">
        <f t="shared" si="6"/>
        <v>0.11438155029082619</v>
      </c>
      <c r="Z29" s="8">
        <f t="shared" si="7"/>
        <v>0.22876310058165239</v>
      </c>
      <c r="AA29" s="8">
        <f t="shared" si="8"/>
        <v>0.30000000000000004</v>
      </c>
      <c r="AB29" s="8">
        <f t="shared" si="9"/>
        <v>3.4314465087247864E-2</v>
      </c>
      <c r="AC29" s="8">
        <f t="shared" si="10"/>
        <v>0.52876310058165243</v>
      </c>
      <c r="AD29" s="13">
        <f t="shared" si="11"/>
        <v>6.4895725608502389E-2</v>
      </c>
      <c r="AE29" s="8">
        <f>(1/H29)*(AD29^(2/3)*((1/F29)^0.5))</f>
        <v>0.69493979513044057</v>
      </c>
      <c r="AF29" s="8">
        <f t="shared" si="12"/>
        <v>2.3846487337742688E-2</v>
      </c>
      <c r="AG29" s="8">
        <f t="shared" si="13"/>
        <v>85.847354415873681</v>
      </c>
      <c r="AH29" s="58"/>
      <c r="AI29" s="13" t="e">
        <f>IF(#REF!&gt;#REF!,"SAFE","UNSAFE")</f>
        <v>#REF!</v>
      </c>
      <c r="AJ29" s="13" t="e">
        <f>IF(#REF!&gt;0.9,"SAFE","UNSAFE")</f>
        <v>#REF!</v>
      </c>
    </row>
    <row r="30" spans="2:51" ht="20.100000000000001" customHeight="1" x14ac:dyDescent="0.2">
      <c r="B30" s="3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62"/>
      <c r="X30" s="8"/>
      <c r="Y30" s="8"/>
      <c r="Z30" s="8"/>
      <c r="AA30" s="8"/>
      <c r="AB30" s="8"/>
      <c r="AC30" s="8"/>
      <c r="AD30" s="13"/>
      <c r="AE30" s="8"/>
      <c r="AF30" s="8"/>
      <c r="AG30" s="8"/>
      <c r="AH30" s="58"/>
      <c r="AI30" s="13"/>
      <c r="AJ30" s="13"/>
    </row>
    <row r="31" spans="2:51" ht="20.100000000000001" customHeight="1" x14ac:dyDescent="0.2">
      <c r="B31" s="3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62"/>
      <c r="X31" s="8"/>
      <c r="Y31" s="8"/>
      <c r="Z31" s="8"/>
      <c r="AA31" s="8"/>
      <c r="AB31" s="8"/>
      <c r="AC31" s="8"/>
      <c r="AD31" s="13"/>
      <c r="AE31" s="8"/>
      <c r="AF31" s="8"/>
      <c r="AG31" s="8"/>
      <c r="AH31" s="58"/>
      <c r="AI31" s="13"/>
      <c r="AJ31" s="13"/>
    </row>
    <row r="32" spans="2:51" ht="20.100000000000001" customHeight="1" x14ac:dyDescent="0.2">
      <c r="B32" s="3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62"/>
      <c r="X32" s="8"/>
      <c r="Y32" s="8"/>
      <c r="Z32" s="8"/>
      <c r="AA32" s="8"/>
      <c r="AB32" s="8"/>
      <c r="AC32" s="8"/>
      <c r="AD32" s="13"/>
      <c r="AE32" s="8"/>
      <c r="AF32" s="8"/>
      <c r="AG32" s="8"/>
      <c r="AH32" s="58"/>
      <c r="AI32" s="13"/>
      <c r="AJ32" s="13"/>
    </row>
    <row r="33" spans="2:36" ht="20.100000000000001" customHeight="1" x14ac:dyDescent="0.2">
      <c r="B33" s="3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62"/>
      <c r="X33" s="8"/>
      <c r="Y33" s="8"/>
      <c r="Z33" s="8"/>
      <c r="AA33" s="8"/>
      <c r="AB33" s="8"/>
      <c r="AC33" s="8"/>
      <c r="AD33" s="13"/>
      <c r="AE33" s="8"/>
      <c r="AF33" s="8"/>
      <c r="AG33" s="8"/>
      <c r="AH33" s="58"/>
      <c r="AI33" s="13"/>
      <c r="AJ33" s="13"/>
    </row>
    <row r="34" spans="2:36" ht="20.100000000000001" customHeight="1" x14ac:dyDescent="0.2">
      <c r="B34" s="3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62"/>
      <c r="X34" s="8"/>
      <c r="Y34" s="8"/>
      <c r="Z34" s="8"/>
      <c r="AA34" s="8"/>
      <c r="AB34" s="8"/>
      <c r="AC34" s="8"/>
      <c r="AD34" s="13"/>
      <c r="AE34" s="8"/>
      <c r="AF34" s="8"/>
      <c r="AG34" s="8"/>
      <c r="AH34" s="58"/>
      <c r="AI34" s="13"/>
      <c r="AJ34" s="13"/>
    </row>
    <row r="35" spans="2:36" ht="20.100000000000001" customHeight="1" x14ac:dyDescent="0.2">
      <c r="B35" s="3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62"/>
      <c r="X35" s="8"/>
      <c r="Y35" s="8"/>
      <c r="Z35" s="8"/>
      <c r="AA35" s="8"/>
      <c r="AB35" s="8"/>
      <c r="AC35" s="8"/>
      <c r="AD35" s="13"/>
      <c r="AE35" s="8"/>
      <c r="AF35" s="8"/>
      <c r="AG35" s="8"/>
      <c r="AH35" s="58"/>
      <c r="AI35" s="13"/>
      <c r="AJ35" s="13"/>
    </row>
    <row r="36" spans="2:36" ht="20.100000000000001" customHeight="1" x14ac:dyDescent="0.2">
      <c r="B36" s="3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62"/>
      <c r="X36" s="8"/>
      <c r="Y36" s="8"/>
      <c r="Z36" s="8"/>
      <c r="AA36" s="8"/>
      <c r="AB36" s="8"/>
      <c r="AC36" s="8"/>
      <c r="AD36" s="13"/>
      <c r="AE36" s="8"/>
      <c r="AF36" s="8"/>
      <c r="AG36" s="8"/>
      <c r="AH36" s="58"/>
      <c r="AI36" s="13"/>
      <c r="AJ36" s="13"/>
    </row>
  </sheetData>
  <dataConsolidate/>
  <mergeCells count="22">
    <mergeCell ref="H17:H18"/>
    <mergeCell ref="J18:J19"/>
    <mergeCell ref="K18:K19"/>
    <mergeCell ref="L18:L19"/>
    <mergeCell ref="M18:M19"/>
    <mergeCell ref="I18:I19"/>
    <mergeCell ref="N18:N19"/>
    <mergeCell ref="AI17:AJ18"/>
    <mergeCell ref="B1:AH1"/>
    <mergeCell ref="B17:B20"/>
    <mergeCell ref="C17:C20"/>
    <mergeCell ref="D17:D20"/>
    <mergeCell ref="E17:E18"/>
    <mergeCell ref="F17:F18"/>
    <mergeCell ref="G17:G18"/>
    <mergeCell ref="T17:U18"/>
    <mergeCell ref="T19:U19"/>
    <mergeCell ref="AB17:AD17"/>
    <mergeCell ref="Y17:AA17"/>
    <mergeCell ref="V17:X18"/>
    <mergeCell ref="I17:N17"/>
    <mergeCell ref="O17:S17"/>
  </mergeCells>
  <phoneticPr fontId="0" type="noConversion"/>
  <pageMargins left="0.75" right="0.75" top="1" bottom="1" header="0.5" footer="0.5"/>
  <pageSetup paperSize="8" scale="63" orientation="landscape" r:id="rId1"/>
  <headerFooter alignWithMargins="0">
    <oddHeader>&amp;R&amp;N</oddHeader>
    <oddFooter>&amp;RDOCUMENT NO: CALS-8001-184002-00</oddFooter>
  </headerFooter>
  <colBreaks count="1" manualBreakCount="1">
    <brk id="34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Design Stormwater</vt:lpstr>
      <vt:lpstr>'Design Stormwater'!Print_Area</vt:lpstr>
      <vt:lpstr>'Design Stormwater'!Print_Titles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Bhamre, Amit (Mumbai)</cp:lastModifiedBy>
  <cp:lastPrinted>2018-09-27T05:54:23Z</cp:lastPrinted>
  <dcterms:created xsi:type="dcterms:W3CDTF">1996-10-14T23:33:28Z</dcterms:created>
  <dcterms:modified xsi:type="dcterms:W3CDTF">2018-10-10T10:16:35Z</dcterms:modified>
</cp:coreProperties>
</file>