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tables/table3.xml" ContentType="application/vnd.openxmlformats-officedocument.spreadsheetml.table+xml"/>
  <Override PartName="/xl/queryTables/queryTable2.xml" ContentType="application/vnd.openxmlformats-officedocument.spreadsheetml.queryTable+xml"/>
  <Override PartName="/xl/tables/table4.xml" ContentType="application/vnd.openxmlformats-officedocument.spreadsheetml.table+xml"/>
  <Override PartName="/xl/queryTables/queryTable3.xml" ContentType="application/vnd.openxmlformats-officedocument.spreadsheetml.query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codeName="{E757BCB4-07E6-AE0B-56E0-F0EEF7A6E26C}"/>
  <workbookPr filterPrivacy="1" codeName="ThisWorkbook" defaultThemeVersion="124226"/>
  <xr:revisionPtr revIDLastSave="0" documentId="13_ncr:1_{34A4DE2A-E9D1-4EC6-A65F-DD47D721DDC4}" xr6:coauthVersionLast="47" xr6:coauthVersionMax="47" xr10:uidLastSave="{00000000-0000-0000-0000-000000000000}"/>
  <bookViews>
    <workbookView xWindow="-24120" yWindow="-120" windowWidth="24240" windowHeight="13740" tabRatio="755" xr2:uid="{00000000-000D-0000-FFFF-FFFF00000000}"/>
  </bookViews>
  <sheets>
    <sheet name="Full Profile" sheetId="15" r:id="rId1"/>
    <sheet name="Master List" sheetId="6" r:id="rId2"/>
    <sheet name="Artwork and Sculpture" sheetId="10" r:id="rId3"/>
    <sheet name="changes" sheetId="16" r:id="rId4"/>
  </sheets>
  <externalReferences>
    <externalReference r:id="rId5"/>
  </externalReferences>
  <definedNames>
    <definedName name="_xlnm._FilterDatabase" localSheetId="2" hidden="1">'Artwork and Sculpture'!$B$2:$Q$14</definedName>
    <definedName name="_xlnm._FilterDatabase" localSheetId="0" hidden="1">'Full Profile'!$E$1:$F$2</definedName>
    <definedName name="_xlnm._FilterDatabase" localSheetId="1" hidden="1">'Master List'!$A$4:$AF$9</definedName>
    <definedName name="ExternalData_1" localSheetId="0" hidden="1">'Full Profile'!$A$16:$A$18</definedName>
    <definedName name="ExternalData_2" localSheetId="0" hidden="1">'Full Profile'!$C$16:$C$18</definedName>
    <definedName name="ExternalData_3" localSheetId="0" hidden="1">'Full Profile'!$F$16:$F$18</definedName>
    <definedName name="IndexMasterID">MATCH(MasterSel, tMaster[Master ID],0)</definedName>
    <definedName name="MasterSel">'Full Profile'!$E$2</definedName>
  </definedNames>
  <calcPr calcId="181029"/>
</workbook>
</file>

<file path=xl/calcChain.xml><?xml version="1.0" encoding="utf-8"?>
<calcChain xmlns="http://schemas.openxmlformats.org/spreadsheetml/2006/main">
  <c r="A14" i="15" l="1"/>
  <c r="A12" i="15"/>
  <c r="M10" i="15"/>
  <c r="K10" i="15"/>
  <c r="J10" i="15"/>
  <c r="I10" i="15"/>
  <c r="H10" i="15"/>
  <c r="G10" i="15"/>
  <c r="F10" i="15"/>
  <c r="E10" i="15"/>
  <c r="D10" i="15"/>
  <c r="C10" i="15"/>
  <c r="A10" i="15"/>
  <c r="N6" i="15"/>
  <c r="M6" i="15"/>
  <c r="L6" i="15"/>
  <c r="K6" i="15"/>
  <c r="A6" i="15"/>
  <c r="F2" i="15"/>
  <c r="J6" i="15"/>
  <c r="I6" i="15"/>
  <c r="H6" i="15"/>
  <c r="G6" i="15"/>
  <c r="F6" i="15"/>
  <c r="E6" i="15"/>
  <c r="D6" i="15"/>
  <c r="C6" i="15"/>
  <c r="B6" i="15"/>
  <c r="D9" i="6" l="1"/>
  <c r="C9" i="6"/>
  <c r="B9" i="6"/>
  <c r="F26" i="15" a="1"/>
  <c r="F26" i="15" s="1"/>
  <c r="C26" i="15" a="1"/>
  <c r="C26" i="15" s="1"/>
  <c r="A13" i="15"/>
  <c r="A11" i="15"/>
  <c r="M9" i="15"/>
  <c r="K9" i="15"/>
  <c r="J9" i="15"/>
  <c r="I9" i="15"/>
  <c r="H9" i="15"/>
  <c r="G9" i="15"/>
  <c r="F9" i="15"/>
  <c r="E9" i="15"/>
  <c r="D9" i="15"/>
  <c r="C9" i="15"/>
  <c r="A9" i="15"/>
  <c r="N5" i="15"/>
  <c r="M5" i="15"/>
  <c r="L5" i="15"/>
  <c r="K5" i="15"/>
  <c r="J5" i="15"/>
  <c r="I5" i="15"/>
  <c r="H5" i="15"/>
  <c r="G5" i="15"/>
  <c r="F5" i="15"/>
  <c r="E5" i="15"/>
  <c r="D5" i="15"/>
  <c r="D5" i="6" l="1"/>
  <c r="D6" i="6"/>
  <c r="D7" i="6"/>
  <c r="C5" i="6"/>
  <c r="C6" i="6"/>
  <c r="C7" i="6"/>
  <c r="B6" i="6" l="1"/>
  <c r="B7" i="6"/>
  <c r="B5" i="6"/>
  <c r="B14" i="10" l="1"/>
  <c r="B13" i="10"/>
  <c r="B3" i="10"/>
  <c r="B4" i="10"/>
  <c r="B5" i="10"/>
  <c r="B6" i="10"/>
  <c r="B7" i="10"/>
  <c r="B8" i="10"/>
  <c r="B9" i="10"/>
  <c r="B10" i="10"/>
  <c r="B11" i="10"/>
  <c r="B12" i="10"/>
  <c r="F34" i="15"/>
  <c r="F33" i="15"/>
  <c r="F32" i="15"/>
  <c r="F31" i="15"/>
  <c r="F30" i="15"/>
  <c r="F29" i="15"/>
  <c r="F28" i="15"/>
  <c r="F27" i="15"/>
  <c r="C34" i="15"/>
  <c r="C33" i="15"/>
  <c r="C32" i="15"/>
  <c r="C31" i="15"/>
  <c r="C30" i="15"/>
  <c r="C29" i="15"/>
  <c r="C28" i="15"/>
  <c r="C27" i="15"/>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611730C9-370E-4C55-BA6D-2086AB38C902}" keepAlive="1" name="Query qOutputCreator" type="5" refreshedVersion="8" background="1" saveData="1">
    <dbPr connection="Provider=Microsoft.Mashup.OleDb.1;Data Source=$Workbook$;Location=qOutputCreator;Extended Properties=&quot;&quot;" command="SELECT * FROM [qOutputCreator]"/>
  </connection>
  <connection id="2" xr16:uid="{A7D6C0B5-595F-402B-A321-376C79FCF59A}" keepAlive="1" name="Query qOutputItem" type="5" refreshedVersion="8" background="1" saveData="1">
    <dbPr connection="Provider=Microsoft.Mashup.OleDb.1;Data Source=$Workbook$;Location=qOutputItem;Extended Properties=&quot;&quot;" command="SELECT * FROM [qOutputItem]"/>
  </connection>
  <connection id="3" xr16:uid="{1CA69A3E-833F-4357-9B22-855E5A02E079}" keepAlive="1" name="Query qOutputTitle" type="5" refreshedVersion="8" background="1" saveData="1">
    <dbPr connection="Provider=Microsoft.Mashup.OleDb.1;Data Source=$Workbook$;Location=qOutputTitle;Extended Properties=&quot;&quot;" command="SELECT * FROM [qOutputTitle]"/>
  </connection>
</connection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<sst xmlns="http://schemas.openxmlformats.org/spreadsheetml/2006/main" count="229" uniqueCount="178">
  <si>
    <t>Surname</t>
  </si>
  <si>
    <t>Forname</t>
  </si>
  <si>
    <t>Member Book Page</t>
  </si>
  <si>
    <t>00/00/0000</t>
  </si>
  <si>
    <t>RSM Inventory No</t>
  </si>
  <si>
    <t>Type of Member</t>
  </si>
  <si>
    <t>Member</t>
  </si>
  <si>
    <t>Gender</t>
  </si>
  <si>
    <t>Male</t>
  </si>
  <si>
    <t>Title</t>
  </si>
  <si>
    <t>Mr</t>
  </si>
  <si>
    <t>A408</t>
  </si>
  <si>
    <t>Handley</t>
  </si>
  <si>
    <t>William Huntington</t>
  </si>
  <si>
    <t>EM158</t>
  </si>
  <si>
    <t>Handel</t>
  </si>
  <si>
    <t>George Frideric</t>
  </si>
  <si>
    <t>Hankins</t>
  </si>
  <si>
    <t>Frederick Harold</t>
  </si>
  <si>
    <t>Baptism Date</t>
  </si>
  <si>
    <t>Date of Birth</t>
  </si>
  <si>
    <t>Date of Death</t>
  </si>
  <si>
    <t>00/00/1738</t>
  </si>
  <si>
    <t>Marriage Date</t>
  </si>
  <si>
    <t>11/08/1815</t>
  </si>
  <si>
    <t>18/02/1865</t>
  </si>
  <si>
    <t>23/02/1685</t>
  </si>
  <si>
    <t>Estimated Death Date</t>
  </si>
  <si>
    <t>Burial Date</t>
  </si>
  <si>
    <t>Admitted to RSM Date</t>
  </si>
  <si>
    <t>05/04/1891</t>
  </si>
  <si>
    <t>05/05/1839</t>
  </si>
  <si>
    <t>Spouse Name</t>
  </si>
  <si>
    <t>Left Membership Date</t>
  </si>
  <si>
    <t>Reason for Leaving</t>
  </si>
  <si>
    <t>Role in RSM</t>
  </si>
  <si>
    <t>Membership Details</t>
  </si>
  <si>
    <t>Estimated Birth Date Type</t>
  </si>
  <si>
    <t>Awards</t>
  </si>
  <si>
    <t>Birth Name</t>
  </si>
  <si>
    <t>Known As</t>
  </si>
  <si>
    <t>12/06/1896</t>
  </si>
  <si>
    <t>14/04/1759</t>
  </si>
  <si>
    <t>Personal Details</t>
  </si>
  <si>
    <t>Recommendation Paper Notes</t>
  </si>
  <si>
    <t>Role in RSM Dates</t>
  </si>
  <si>
    <t>1742; 1744; 1755</t>
  </si>
  <si>
    <t>NONMEMFIRS</t>
  </si>
  <si>
    <t>Queries</t>
  </si>
  <si>
    <t>Artwork - oil on canvas</t>
  </si>
  <si>
    <t>Exhibited at "International Inventions Exhibition, 1885", see Guide to the Loan Collection and list of musical instruments, manuscripts, books, paintings, and engravings, exhibited in the Gallery and Lower Rooms of the Albert Hall (London, printed and published for the Executive Council of the International Inventions Exhibition, 1885), p.36.</t>
  </si>
  <si>
    <t>Acquired by Redmond Simpson.  Hung in the royal box at the Concerts of Antient Music from about 1785 when King George III began regularly to attend their concerts.  Bequeathed to the RSM by Redmond Simpson (25 April, 1785) in the event of the folding of t</t>
  </si>
  <si>
    <t>Hogarth, William  (1697-1764) [circle of]</t>
  </si>
  <si>
    <t>[George Frideric] Handel [(1685-1759)]</t>
  </si>
  <si>
    <t>[ca 1750]</t>
  </si>
  <si>
    <t>76 x 63cm</t>
  </si>
  <si>
    <t>by 3 April 1813.</t>
  </si>
  <si>
    <t>Exhibited at "International Inventions Exhibition, 1885", see Guide to the Loan Collection and list of musical instruments, manuscripts, books, paintings, and engravings, exhibited in the Gallery and Lower Rooms of the Albert Hall (London, printed and published for the Executive Council of the International Inventions Exhibition, 1885), p.36.
RSM Online (May 2020)</t>
  </si>
  <si>
    <t>75 x 63cm</t>
  </si>
  <si>
    <t>Sculpture</t>
  </si>
  <si>
    <t>Biagiotti, Saverio (1838-1901)</t>
  </si>
  <si>
    <t>[Painted plaster bust of George Frideric Handel (1685-1759)]</t>
  </si>
  <si>
    <t>ca 1885</t>
  </si>
  <si>
    <t>53 x 32 x 26cm</t>
  </si>
  <si>
    <t>Head and shoulders, facing slightly to the sitter's right, wearing stock, buttoned jacket and raised collar, on an integral socle; after the depiction of Handel by Louis Francois Roubiliac on the monument in Westminster Abbey of 1762.  Signed S. Biagiotti: Saverio Biagiotti (1838-1901), a known maker of plaster casts (notably for the British Museum) active in London</t>
  </si>
  <si>
    <t>Presented by Mr (later Dr) W.H. Cummings (00457), 1889: "The best thanks were given to Mr W.H. Cummings for the Bust of Handel which he intended presenting to the Society" (Governor's Minutes, 3 November, 1889).</t>
  </si>
  <si>
    <t>Artwork - lithograph</t>
  </si>
  <si>
    <t>Artwork - engraving</t>
  </si>
  <si>
    <t>Turner, Charles (1773-1857), engraver</t>
  </si>
  <si>
    <t>[(George Frideric Handel (1685-1759)]</t>
  </si>
  <si>
    <t>April 4th, 1821</t>
  </si>
  <si>
    <t>546 x 393mm (platemark = 510 x 358mm)</t>
  </si>
  <si>
    <t>Mezzotint by Turner after William Hogarth (1697-1764) [actually after Bartholomew Dandridge (1681-ca 1754).
Handel is depicted three-quarter length, facing slightly to his right with head turned back to face the viewer, wearing a braided coat, cravat and</t>
  </si>
  <si>
    <t>Mrs Gibson (reported 3 May 1925)</t>
  </si>
  <si>
    <t>Gauci, Maxim (fl.1810-1846)</t>
  </si>
  <si>
    <t>George Frederick Handel [(1685-1759)]</t>
  </si>
  <si>
    <t>[ca 1835]</t>
  </si>
  <si>
    <t>381 x 277mm</t>
  </si>
  <si>
    <t>Lithograph by Gauci after the portrait by Thomas Hudson (1701-1779).
Handel is depicted half length, facing slightly to the left, wearing braided jacket, stock and wig, with a drape around his shoulders.
Lettered beneath: M. Gauci del  From a Painting b</t>
  </si>
  <si>
    <t>(possibly) Miss Isabel Hammond in memory of G.W. Hammond, 1930 (see Minutes, 6 April, 1930)</t>
  </si>
  <si>
    <t>Bromley, William (1769-1842), engraver</t>
  </si>
  <si>
    <t>[George Frideric Handel (1685-1759)]</t>
  </si>
  <si>
    <t>[ca 1789]</t>
  </si>
  <si>
    <t>295 x 225mm</t>
  </si>
  <si>
    <t>Line engraving, by W. Bromley after the mezzotint by John Faber the younger (ca 1695-1756) after the portrait by Thomas Hudson (1701-1779).
Handel is depicted three quarter length, facing slightly to the left, seated with left elbow resting on a table an</t>
  </si>
  <si>
    <t>294 x 229mm</t>
  </si>
  <si>
    <t>Thomson, James (1788-1850)</t>
  </si>
  <si>
    <t>[George Frideric] Handel [(1685-1759)] from a picture in the collection of His Majesty at Windsor</t>
  </si>
  <si>
    <t>[1833]</t>
  </si>
  <si>
    <t>274 x 187mm (image = 129 x 102mm)</t>
  </si>
  <si>
    <t xml:space="preserve">Steel engraving by Thomson after Gustav Andreas Wolfgang (1692-1775).
Handel is depicted half-length facing to the right but with head towards the viewer, in braided coat with wig.
Lettered beneath: Engraved by J. Thomson. / HANDEL. / From a Picture in </t>
  </si>
  <si>
    <t>William Oxenbury (Hon. Treasurer); reported 1 March, 1998.</t>
  </si>
  <si>
    <t>M. &amp; N. Hanhart</t>
  </si>
  <si>
    <t>[George Frideric] Handel [1685-1759]</t>
  </si>
  <si>
    <t>[ca 1859]</t>
  </si>
  <si>
    <t>522 x 430mm (image = 482 x 388mm)</t>
  </si>
  <si>
    <t>Lithograph by M. &amp; N. Hanhart after August Selb (1812-1859) who took G.A. Wolfgang's portrait of Handel as his model.  "Proof" copy.
Handel is depicted half-length facing to his left but with head turned towards the viewer, in braided jacket, stock and w</t>
  </si>
  <si>
    <t>(possibly) Miss Isabel Hammond in memory of G.W. Hammond, 1930</t>
  </si>
  <si>
    <t>Was this the one Exhibited at "International Inventions Exhibition, 1885", see Guide to the Loan Collection and list of musical instruments, manuscripts, books, paintings, and engravings, exhibited in the Gallery and Lower Rooms of the Albert Hall (London, printed and published for the Executive Council of the International Inventions Exhibition, 1885), p.58 described as "Given to Charles Neate during his stay in Vienna in the year 1815".  ?Same item on p.71 without the provenance note - was the copy on p.58 therefore lent by someone else?</t>
  </si>
  <si>
    <t>Art No</t>
  </si>
  <si>
    <t>Creator</t>
  </si>
  <si>
    <t>Date of Creation</t>
  </si>
  <si>
    <t>Size</t>
  </si>
  <si>
    <t>Description</t>
  </si>
  <si>
    <t>Contribution</t>
  </si>
  <si>
    <t>Provenance</t>
  </si>
  <si>
    <t>Date of Acquisition</t>
  </si>
  <si>
    <t>Exhibition Note</t>
  </si>
  <si>
    <t>Literature</t>
  </si>
  <si>
    <t>Name Subject</t>
  </si>
  <si>
    <t>Half length, facing slightly to his left, wearing a tan jacket, braided waistcoat, white stock, long flowing wig.
Oil on canvas.   Framed, glazed, with tablet lettered "Handel / Member of the / Royal Society of Musicians".  With a framed musical trophy a</t>
  </si>
  <si>
    <t>Half length, facing slightly to his left, wearing a tan jacket, braided waistcoat, white stock, long flowing wig.
Oil on canvas.   Framed, glazed, with tablets lettered "Handel" and "The Gift of / Redmond Simpson Esqr.".
Previously attributed to Francis</t>
  </si>
  <si>
    <t>Birth Year</t>
  </si>
  <si>
    <t>Death Year</t>
  </si>
  <si>
    <t>Master ID</t>
  </si>
  <si>
    <t>Name Details</t>
  </si>
  <si>
    <t>Additional Notes</t>
  </si>
  <si>
    <t>Comments</t>
  </si>
  <si>
    <t>Name</t>
  </si>
  <si>
    <t>Estimated Admittance Type to RSM</t>
  </si>
  <si>
    <t>Master-ID</t>
  </si>
  <si>
    <t>Item</t>
  </si>
  <si>
    <t>Birth or Other Name</t>
  </si>
  <si>
    <t>Horn</t>
  </si>
  <si>
    <t>John Henry</t>
  </si>
  <si>
    <t>14/09/1789</t>
  </si>
  <si>
    <t>02/08/1852</t>
  </si>
  <si>
    <t>A317</t>
  </si>
  <si>
    <t>06/07/1823</t>
  </si>
  <si>
    <t>Has served an Apprenticeship in London to Mr John Baptist Mayer, performs on the Harp and is much employed in teaching that Instrument - Son of John Godlob Horn</t>
  </si>
  <si>
    <t>Horn - John Henry (1789-1852) - RSM No - A317</t>
  </si>
  <si>
    <t>1789</t>
  </si>
  <si>
    <t>1852</t>
  </si>
  <si>
    <t>Macdowell</t>
  </si>
  <si>
    <t>[Bust of Henry Horn (1789-1852)]</t>
  </si>
  <si>
    <t>Letter from Charles Turner [in file of A317], executor to Mrs Horn, dated 27th September 1870, relaying the donation by the subject's wife although not included in her will (see P002, 6th November 1870).  She had bequeathed £400 (see P002, 2nd October 187</t>
  </si>
  <si>
    <t>Presented by Mrs Mary Ann Horn (24 June, 1857).</t>
  </si>
  <si>
    <t>Cook, Conrad (fl.ca 1840-1850)</t>
  </si>
  <si>
    <t>Johann Sebastian Bach [(1685-1750)]</t>
  </si>
  <si>
    <t>[ca 1850]</t>
  </si>
  <si>
    <t>239 x 183 (image = 136 x 116mm)</t>
  </si>
  <si>
    <t>Steel engraving by Cook after Lazarus Gottlieb Sichlong (1812-1863).
Bach is depicted half-length, facing forwards, wearing unbuttoned jacket and waistcoat, stock and wig.  Lettered beneath: Engraved by C. Cook, from a Painting by L. Sichlong. / JOHANN S</t>
  </si>
  <si>
    <t>Bach</t>
  </si>
  <si>
    <t>Johann Sebastian</t>
  </si>
  <si>
    <t>[after Haussmann, Elias Gottlob (1695-1774)]</t>
  </si>
  <si>
    <t>Jho. Seb. Bach [Johann Sebastian Bach (1685-1750)]</t>
  </si>
  <si>
    <t>[ca 1775]</t>
  </si>
  <si>
    <t>75 x 62cm</t>
  </si>
  <si>
    <t xml:space="preserve">Half length, facing forwards, wearing a plain jacket, waistcoat, cravat and wig, with a red curtain to his right.
Oil on canvas.   Unsigned; previously thought to be by "Clark of Eton" then circle of John Theodore Heins the younger (1732/3-1771) and now </t>
  </si>
  <si>
    <t>Mr Thomas Pratt, see Minutes of Annual General Meeting, 24 December, 1855: "A Portrait of John Sebastian Bach was presented to the Society by Mr Thomas Pratt a member".</t>
  </si>
  <si>
    <t>00/00/1685</t>
  </si>
  <si>
    <t>00/00/1750</t>
  </si>
  <si>
    <t>Non-Member</t>
  </si>
  <si>
    <t>Resize 'tArtwork' table to cover full data</t>
  </si>
  <si>
    <r>
      <t xml:space="preserve">Master-ID' field in 'tArtwork' table DV formula changed to </t>
    </r>
    <r>
      <rPr>
        <b/>
        <sz val="11"/>
        <color theme="1"/>
        <rFont val="Calibri"/>
        <family val="2"/>
        <charset val="238"/>
        <scheme val="minor"/>
      </rPr>
      <t>=INDIRECT("tMaster[Master ID]")</t>
    </r>
  </si>
  <si>
    <t>ID</t>
  </si>
  <si>
    <t>change</t>
  </si>
  <si>
    <t>Full Profile, E2, DV formula changed as in [2]</t>
  </si>
  <si>
    <t>why</t>
  </si>
  <si>
    <t>to automatically resize with new data if manual entries</t>
  </si>
  <si>
    <t>to refer to column in table instead of fixed range</t>
  </si>
  <si>
    <t>to simplify INDEX formulas duplicating argument, can be in a referenced cell too</t>
  </si>
  <si>
    <t>simplify formulas, single instance to change if necessary</t>
  </si>
  <si>
    <t>Artwork and Sculpture 2</t>
  </si>
  <si>
    <t>Create power query queries from 'tMasters' and 'tArtWork' tables with the same names, connection only</t>
  </si>
  <si>
    <t>to remove merges and keep alignments</t>
  </si>
  <si>
    <t>Create table 'tMasterSel' from 'Full Profile'!E1:E2</t>
  </si>
  <si>
    <t>to have master selected in PQ</t>
  </si>
  <si>
    <t>to use in PQ environment next ('tMasters' not needed in fact)</t>
  </si>
  <si>
    <t>Unmerge headers, colour nad center across selection alignments in' Artwork and Sculpture 2'</t>
  </si>
  <si>
    <t>to get filtered results, three - because columns are separated</t>
  </si>
  <si>
    <t>Create three PQ queries 'qOutputItem', 'qOutputCreator', 'qOutputTitle', output in 'Full Profile'</t>
  </si>
  <si>
    <t>to reference by names later on</t>
  </si>
  <si>
    <t>Add name 'MasterSel' to 'Full Profile'!$E$2</t>
  </si>
  <si>
    <t>Added name 'IndexMasterID', reference to formula =MATCH(MasterSel, tMaster[Master ID],0)</t>
  </si>
  <si>
    <t>Replace instances of formula (in [5]) by respective name</t>
  </si>
  <si>
    <t>VBA: write Worksheet_Change event procedure in 'Full Profile' sheet's module</t>
  </si>
  <si>
    <t>to refresh queries when Master ID value changes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</si>
</sst>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name val="Calibri"/>
      <family val="2"/>
      <scheme val="minor"/>
    </font>
    <font>
      <b/>
      <u/>
      <sz val="11"/>
      <color theme="1"/>
      <name val="Calibri"/>
      <family val="2"/>
      <scheme val="minor"/>
    </font>
    <font>
      <b/>
      <u/>
      <sz val="11"/>
      <name val="Calibri"/>
      <family val="2"/>
      <scheme val="minor"/>
    </font>
    <font>
      <b/>
      <sz val="11"/>
      <color theme="1"/>
      <name val="Calibri"/>
      <family val="2"/>
      <charset val="238"/>
      <scheme val="minor"/>
    </font>
    <font>
      <sz val="8"/>
      <name val="Calibri"/>
      <family val="2"/>
      <scheme val="minor"/>
    </font>
  </fonts>
  <fills count="10">
    <fill>
      <patternFill patternType="none"/>
    </fill>
    <fill>
      <patternFill patternType="gray125"/>
    </fill>
    <fill>
      <patternFill patternType="solid">
        <fgColor theme="3" tint="0.79998168889431442"/>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3" tint="0.39997558519241921"/>
        <bgColor indexed="64"/>
      </patternFill>
    </fill>
    <fill>
      <patternFill patternType="solid">
        <fgColor theme="9" tint="0.79998168889431442"/>
        <bgColor indexed="64"/>
      </patternFill>
    </fill>
    <fill>
      <patternFill patternType="solid">
        <fgColor theme="8" tint="0.79998168889431442"/>
        <bgColor indexed="64"/>
      </patternFill>
    </fill>
  </fills>
  <borders count="15">
    <border>
      <left/>
      <right/>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top style="thin">
        <color theme="4" tint="0.39997558519241921"/>
      </top>
      <bottom/>
      <diagonal/>
    </border>
  </borders>
  <cellStyleXfs count="1">
    <xf numFmtId="0" fontId="0" fillId="0" borderId="0"/>
  </cellStyleXfs>
  <cellXfs count="92">
    <xf numFmtId="0" fontId="0" fillId="0" borderId="0" xfId="0"/>
    <xf numFmtId="14" fontId="0" fillId="0" borderId="0" xfId="0" applyNumberFormat="1" applyAlignment="1">
      <alignment horizontal="center"/>
    </xf>
    <xf numFmtId="0" fontId="0" fillId="0" borderId="0" xfId="0" applyAlignment="1">
      <alignment horizontal="center"/>
    </xf>
    <xf numFmtId="0" fontId="0" fillId="0" borderId="0" xfId="0" applyAlignment="1">
      <alignment horizontal="left"/>
    </xf>
    <xf numFmtId="1" fontId="0" fillId="0" borderId="0" xfId="0" applyNumberFormat="1" applyAlignment="1">
      <alignment horizontal="center"/>
    </xf>
    <xf numFmtId="14" fontId="0" fillId="0" borderId="0" xfId="0" applyNumberFormat="1"/>
    <xf numFmtId="0" fontId="0" fillId="0" borderId="0" xfId="0" applyAlignment="1">
      <alignment horizontal="right"/>
    </xf>
    <xf numFmtId="14" fontId="0" fillId="0" borderId="0" xfId="0" applyNumberFormat="1" applyAlignment="1">
      <alignment horizontal="left"/>
    </xf>
    <xf numFmtId="0" fontId="0" fillId="0" borderId="0" xfId="0" applyAlignment="1">
      <alignment vertical="center"/>
    </xf>
    <xf numFmtId="49" fontId="0" fillId="0" borderId="0" xfId="0" applyNumberFormat="1"/>
    <xf numFmtId="0" fontId="0" fillId="4" borderId="0" xfId="0" applyFill="1"/>
    <xf numFmtId="0" fontId="0" fillId="4" borderId="2" xfId="0" applyFill="1" applyBorder="1"/>
    <xf numFmtId="0" fontId="0" fillId="4" borderId="0" xfId="0" applyFill="1" applyAlignment="1">
      <alignment horizontal="center"/>
    </xf>
    <xf numFmtId="0" fontId="2" fillId="2" borderId="1" xfId="0" applyFont="1" applyFill="1" applyBorder="1" applyAlignment="1">
      <alignment horizontal="center"/>
    </xf>
    <xf numFmtId="0" fontId="2" fillId="2" borderId="0" xfId="0" applyFont="1" applyFill="1" applyAlignment="1">
      <alignment horizontal="center"/>
    </xf>
    <xf numFmtId="0" fontId="2" fillId="2" borderId="0" xfId="0" applyFont="1" applyFill="1" applyAlignment="1">
      <alignment horizontal="right"/>
    </xf>
    <xf numFmtId="0" fontId="2" fillId="2" borderId="0" xfId="0" applyFont="1" applyFill="1" applyAlignment="1">
      <alignment horizontal="left"/>
    </xf>
    <xf numFmtId="0" fontId="2" fillId="2" borderId="0" xfId="0" applyFont="1" applyFill="1"/>
    <xf numFmtId="0" fontId="1" fillId="2" borderId="8" xfId="0" applyFont="1" applyFill="1" applyBorder="1" applyAlignment="1">
      <alignment horizontal="center" wrapText="1"/>
    </xf>
    <xf numFmtId="0" fontId="2" fillId="2" borderId="2" xfId="0" applyFont="1" applyFill="1" applyBorder="1"/>
    <xf numFmtId="0" fontId="2" fillId="4" borderId="6" xfId="0" applyFont="1" applyFill="1" applyBorder="1"/>
    <xf numFmtId="0" fontId="2" fillId="4" borderId="7" xfId="0" applyFont="1" applyFill="1" applyBorder="1"/>
    <xf numFmtId="1" fontId="0" fillId="4" borderId="0" xfId="0" applyNumberFormat="1" applyFill="1" applyAlignment="1">
      <alignment horizontal="center"/>
    </xf>
    <xf numFmtId="1" fontId="2" fillId="4" borderId="6" xfId="0" applyNumberFormat="1" applyFont="1" applyFill="1" applyBorder="1" applyAlignment="1">
      <alignment horizontal="center"/>
    </xf>
    <xf numFmtId="0" fontId="2" fillId="0" borderId="0" xfId="0" applyFont="1"/>
    <xf numFmtId="1" fontId="0" fillId="2" borderId="11" xfId="0" applyNumberFormat="1" applyFill="1" applyBorder="1" applyAlignment="1">
      <alignment horizontal="center" wrapText="1"/>
    </xf>
    <xf numFmtId="0" fontId="0" fillId="2" borderId="11" xfId="0" applyFill="1" applyBorder="1" applyAlignment="1">
      <alignment horizontal="center" wrapText="1"/>
    </xf>
    <xf numFmtId="14" fontId="0" fillId="2" borderId="11" xfId="0" applyNumberFormat="1" applyFill="1" applyBorder="1" applyAlignment="1">
      <alignment horizontal="center" wrapText="1"/>
    </xf>
    <xf numFmtId="0" fontId="0" fillId="4" borderId="11" xfId="0" applyFill="1" applyBorder="1"/>
    <xf numFmtId="0" fontId="0" fillId="4" borderId="11" xfId="0" applyFill="1" applyBorder="1" applyAlignment="1">
      <alignment horizontal="center" wrapText="1"/>
    </xf>
    <xf numFmtId="14" fontId="0" fillId="4" borderId="11" xfId="0" applyNumberFormat="1" applyFill="1" applyBorder="1" applyAlignment="1">
      <alignment horizontal="center" wrapText="1"/>
    </xf>
    <xf numFmtId="14" fontId="0" fillId="4" borderId="4" xfId="0" applyNumberForma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vertical="center" wrapText="1"/>
    </xf>
    <xf numFmtId="0" fontId="0" fillId="6" borderId="0" xfId="0" applyFill="1"/>
    <xf numFmtId="0" fontId="0" fillId="3" borderId="6" xfId="0" applyFill="1" applyBorder="1"/>
    <xf numFmtId="0" fontId="0" fillId="3" borderId="7" xfId="0" applyFill="1" applyBorder="1"/>
    <xf numFmtId="0" fontId="1" fillId="4" borderId="9" xfId="0" applyFont="1" applyFill="1" applyBorder="1"/>
    <xf numFmtId="1" fontId="1" fillId="4" borderId="9" xfId="0" applyNumberFormat="1" applyFont="1" applyFill="1" applyBorder="1" applyAlignment="1">
      <alignment horizontal="center"/>
    </xf>
    <xf numFmtId="1" fontId="1" fillId="4" borderId="9" xfId="0" applyNumberFormat="1" applyFont="1" applyFill="1" applyBorder="1" applyAlignment="1">
      <alignment horizontal="center" wrapText="1"/>
    </xf>
    <xf numFmtId="0" fontId="1" fillId="4" borderId="9" xfId="0" applyFont="1" applyFill="1" applyBorder="1" applyAlignment="1">
      <alignment horizontal="center" wrapText="1"/>
    </xf>
    <xf numFmtId="14" fontId="1" fillId="4" borderId="9" xfId="0" applyNumberFormat="1" applyFont="1" applyFill="1" applyBorder="1" applyAlignment="1">
      <alignment horizontal="center" wrapText="1"/>
    </xf>
    <xf numFmtId="14" fontId="1" fillId="4" borderId="10" xfId="0" applyNumberFormat="1" applyFont="1" applyFill="1" applyBorder="1" applyAlignment="1">
      <alignment horizontal="center" wrapText="1"/>
    </xf>
    <xf numFmtId="1" fontId="1" fillId="2" borderId="9" xfId="0" applyNumberFormat="1" applyFont="1" applyFill="1" applyBorder="1" applyAlignment="1">
      <alignment horizontal="center" wrapText="1"/>
    </xf>
    <xf numFmtId="0" fontId="1" fillId="2" borderId="9" xfId="0" applyFont="1" applyFill="1" applyBorder="1" applyAlignment="1">
      <alignment horizontal="center" wrapText="1"/>
    </xf>
    <xf numFmtId="14" fontId="1" fillId="2" borderId="9" xfId="0" applyNumberFormat="1" applyFont="1" applyFill="1" applyBorder="1" applyAlignment="1">
      <alignment horizontal="center" wrapText="1"/>
    </xf>
    <xf numFmtId="14" fontId="1" fillId="2" borderId="10" xfId="0" applyNumberFormat="1" applyFont="1" applyFill="1" applyBorder="1" applyAlignment="1">
      <alignment horizontal="center" wrapText="1"/>
    </xf>
    <xf numFmtId="0" fontId="0" fillId="4" borderId="1" xfId="0" applyFill="1" applyBorder="1" applyAlignment="1">
      <alignment horizontal="center"/>
    </xf>
    <xf numFmtId="0" fontId="1" fillId="4" borderId="8" xfId="0" applyFont="1" applyFill="1" applyBorder="1" applyAlignment="1">
      <alignment horizontal="center" wrapText="1"/>
    </xf>
    <xf numFmtId="0" fontId="2" fillId="4" borderId="0" xfId="0" applyFont="1" applyFill="1" applyAlignment="1">
      <alignment horizontal="center"/>
    </xf>
    <xf numFmtId="0" fontId="0" fillId="0" borderId="0" xfId="0" applyAlignment="1">
      <alignment horizontal="left" vertical="top" wrapText="1"/>
    </xf>
    <xf numFmtId="0" fontId="0" fillId="7" borderId="0" xfId="0" applyFill="1"/>
    <xf numFmtId="0" fontId="0" fillId="7" borderId="9" xfId="0" applyFill="1" applyBorder="1"/>
    <xf numFmtId="0" fontId="0" fillId="7" borderId="10" xfId="0" applyFill="1" applyBorder="1"/>
    <xf numFmtId="0" fontId="0" fillId="7" borderId="0" xfId="0" applyFill="1" applyAlignment="1">
      <alignment horizontal="center" wrapText="1"/>
    </xf>
    <xf numFmtId="0" fontId="0" fillId="4" borderId="6" xfId="0" applyFill="1" applyBorder="1" applyAlignment="1">
      <alignment horizontal="center"/>
    </xf>
    <xf numFmtId="0" fontId="0" fillId="6" borderId="12" xfId="0" applyFill="1" applyBorder="1"/>
    <xf numFmtId="14" fontId="0" fillId="2" borderId="11" xfId="0" applyNumberFormat="1" applyFill="1" applyBorder="1" applyAlignment="1">
      <alignment horizontal="center" wrapText="1"/>
    </xf>
    <xf numFmtId="0" fontId="0" fillId="0" borderId="6" xfId="0" applyBorder="1" applyAlignment="1">
      <alignment horizontal="center" vertical="center"/>
    </xf>
    <xf numFmtId="14" fontId="0" fillId="2" borderId="3" xfId="0" applyNumberFormat="1" applyFill="1" applyBorder="1" applyAlignment="1">
      <alignment horizontal="center" wrapText="1"/>
    </xf>
    <xf numFmtId="14" fontId="0" fillId="2" borderId="4" xfId="0" applyNumberFormat="1" applyFill="1" applyBorder="1" applyAlignment="1">
      <alignment horizontal="center" wrapText="1"/>
    </xf>
    <xf numFmtId="0" fontId="0" fillId="0" borderId="6" xfId="0" applyBorder="1" applyAlignment="1">
      <alignment horizontal="left" vertical="top" wrapText="1"/>
    </xf>
    <xf numFmtId="0" fontId="0" fillId="0" borderId="11" xfId="0" applyBorder="1" applyAlignment="1">
      <alignment horizontal="left"/>
    </xf>
    <xf numFmtId="0" fontId="0" fillId="0" borderId="6" xfId="0" applyBorder="1" applyAlignment="1">
      <alignment horizontal="left" vertical="center" wrapText="1"/>
    </xf>
    <xf numFmtId="0" fontId="0" fillId="5" borderId="6" xfId="0" applyFill="1" applyBorder="1" applyAlignment="1">
      <alignment horizontal="center"/>
    </xf>
    <xf numFmtId="0" fontId="0" fillId="5" borderId="7" xfId="0" applyFill="1" applyBorder="1" applyAlignment="1">
      <alignment horizontal="center"/>
    </xf>
    <xf numFmtId="0" fontId="1" fillId="2" borderId="3" xfId="0" applyFont="1" applyFill="1" applyBorder="1" applyAlignment="1">
      <alignment horizontal="center" wrapText="1"/>
    </xf>
    <xf numFmtId="0" fontId="1" fillId="2" borderId="11" xfId="0" applyFont="1" applyFill="1" applyBorder="1" applyAlignment="1">
      <alignment horizontal="center" wrapText="1"/>
    </xf>
    <xf numFmtId="0" fontId="0" fillId="4" borderId="3" xfId="0" applyFill="1" applyBorder="1" applyAlignment="1">
      <alignment horizontal="center"/>
    </xf>
    <xf numFmtId="0" fontId="0" fillId="4" borderId="11" xfId="0" applyFill="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3" fillId="0" borderId="0" xfId="0" applyFont="1" applyAlignment="1">
      <alignment horizontal="left" vertical="top" wrapText="1"/>
    </xf>
    <xf numFmtId="0" fontId="2" fillId="2" borderId="5" xfId="0" applyFont="1" applyFill="1" applyBorder="1" applyAlignment="1">
      <alignment horizontal="center"/>
    </xf>
    <xf numFmtId="0" fontId="2" fillId="2" borderId="6" xfId="0" applyFont="1" applyFill="1" applyBorder="1" applyAlignment="1">
      <alignment horizontal="center"/>
    </xf>
    <xf numFmtId="0" fontId="2" fillId="2" borderId="7" xfId="0" applyFont="1" applyFill="1" applyBorder="1" applyAlignment="1">
      <alignment horizontal="center"/>
    </xf>
    <xf numFmtId="0" fontId="0" fillId="6" borderId="12" xfId="0" applyNumberFormat="1" applyFill="1" applyBorder="1"/>
    <xf numFmtId="0" fontId="0" fillId="0" borderId="13" xfId="0" applyBorder="1"/>
    <xf numFmtId="0" fontId="0" fillId="0" borderId="14" xfId="0" applyNumberFormat="1" applyBorder="1"/>
    <xf numFmtId="0" fontId="0" fillId="0" borderId="14" xfId="0" applyBorder="1"/>
    <xf numFmtId="0" fontId="0" fillId="0" borderId="0" xfId="0" applyNumberFormat="1"/>
    <xf numFmtId="0" fontId="0" fillId="0" borderId="0" xfId="0" quotePrefix="1"/>
    <xf numFmtId="0" fontId="4" fillId="0" borderId="0" xfId="0" applyFont="1"/>
    <xf numFmtId="0" fontId="0" fillId="8" borderId="0" xfId="0" applyFill="1" applyAlignment="1">
      <alignment horizontal="centerContinuous" vertical="top" wrapText="1"/>
    </xf>
    <xf numFmtId="0" fontId="0" fillId="9" borderId="0" xfId="0" applyFill="1" applyAlignment="1">
      <alignment horizontal="centerContinuous" vertical="top" wrapText="1"/>
    </xf>
    <xf numFmtId="0" fontId="0" fillId="5" borderId="0" xfId="0" applyFill="1" applyAlignment="1">
      <alignment horizontal="centerContinuous" vertical="top" wrapText="1"/>
    </xf>
    <xf numFmtId="0" fontId="0" fillId="5" borderId="0" xfId="0" applyFill="1" applyBorder="1"/>
    <xf numFmtId="0" fontId="0" fillId="0" borderId="0" xfId="0" applyBorder="1" applyAlignment="1">
      <alignment horizontal="center"/>
    </xf>
    <xf numFmtId="0" fontId="0" fillId="8" borderId="0" xfId="0" applyFill="1" applyAlignment="1">
      <alignment horizontal="center" vertical="top" wrapText="1"/>
    </xf>
    <xf numFmtId="0" fontId="0" fillId="9" borderId="0" xfId="0" applyFill="1" applyAlignment="1">
      <alignment horizontal="center" vertical="top" wrapText="1"/>
    </xf>
    <xf numFmtId="0" fontId="0" fillId="5" borderId="0" xfId="0" applyFill="1" applyAlignment="1">
      <alignment horizontal="center" vertical="top" wrapText="1"/>
    </xf>
  </cellXfs>
  <cellStyles count="1">
    <cellStyle name="Normalny" xfId="0" builtinId="0"/>
  </cellStyles>
  <dxfs count="37">
    <dxf>
      <numFmt numFmtId="0" formatCode="General"/>
    </dxf>
    <dxf>
      <numFmt numFmtId="0" formatCode="General"/>
    </dxf>
    <dxf>
      <numFmt numFmtId="0" formatCode="General"/>
    </dxf>
    <dxf>
      <alignment horizontal="center" vertical="bottom" textRotation="0" wrapText="0" indent="0" justifyLastLine="0" shrinkToFit="0" readingOrder="0"/>
    </dxf>
    <dxf>
      <fill>
        <patternFill patternType="solid">
          <fgColor indexed="64"/>
          <bgColor theme="9" tint="0.79998168889431442"/>
        </patternFill>
      </fill>
      <alignment horizontal="centerContinuous" vertical="top" textRotation="0" wrapText="1" indent="0" justifyLastLine="0" shrinkToFit="0" readingOrder="0"/>
    </dxf>
    <dxf>
      <fill>
        <patternFill patternType="solid">
          <fgColor indexed="64"/>
          <bgColor theme="7" tint="0.79998168889431442"/>
        </patternFill>
      </fill>
      <alignment horizontal="centerContinuous" vertical="top" textRotation="0" wrapText="1" indent="0" justifyLastLine="0" shrinkToFit="0" readingOrder="0"/>
    </dxf>
    <dxf>
      <fill>
        <patternFill patternType="solid">
          <fgColor indexed="64"/>
          <bgColor theme="8" tint="0.79998168889431442"/>
        </patternFill>
      </fill>
      <alignment horizontal="centerContinuous" vertical="top" textRotation="0" wrapText="1" indent="0" justifyLastLine="0" shrinkToFit="0" readingOrder="0"/>
    </dxf>
    <dxf>
      <fill>
        <patternFill patternType="solid">
          <fgColor indexed="64"/>
          <bgColor theme="7" tint="0.79998168889431442"/>
        </patternFill>
      </fill>
    </dxf>
    <dxf>
      <alignment horizontal="center" vertical="bottom" textRotation="0" wrapText="0" indent="0" justifyLastLine="0" shrinkToFit="0" readingOrder="0"/>
    </dxf>
    <dxf>
      <alignment horizontal="center" vertical="bottom" textRotation="0" wrapText="0" indent="0" justifyLastLine="0" shrinkToFit="0" readingOrder="0"/>
    </dxf>
    <dxf>
      <border outline="0">
        <left style="thin">
          <color auto="1"/>
        </left>
        <top style="thin">
          <color auto="1"/>
        </top>
        <bottom style="thin">
          <color auto="1"/>
        </bottom>
      </border>
    </dxf>
    <dxf>
      <numFmt numFmtId="0" formatCode="General"/>
    </dxf>
    <dxf>
      <fill>
        <patternFill patternType="solid">
          <fgColor indexed="64"/>
          <bgColor theme="0" tint="-0.14999847407452621"/>
        </patternFill>
      </fill>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indent="0" justifyLastLine="0" shrinkToFit="0" readingOrder="0"/>
    </dxf>
    <dxf>
      <alignment horizontal="left" vertical="bottom" textRotation="0" wrapText="0" indent="0" justifyLastLine="0" shrinkToFit="0" readingOrder="0"/>
    </dxf>
    <dxf>
      <alignment horizontal="right"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alignment horizontal="left" vertical="bottom" textRotation="0" wrapText="0" indent="0" justifyLastLine="0" shrinkToFit="0" readingOrder="0"/>
    </dxf>
    <dxf>
      <alignment horizontal="left" vertical="bottom" textRotation="0" wrapText="0" indent="0" justifyLastLine="0" shrinkToFit="0" readingOrder="0"/>
    </dxf>
    <dxf>
      <numFmt numFmtId="19" formatCode="dd/mm/yyyy"/>
      <alignment horizontal="center" vertical="bottom" textRotation="0" wrapText="0" indent="0" justifyLastLine="0" shrinkToFit="0" readingOrder="0"/>
    </dxf>
    <dxf>
      <numFmt numFmtId="19" formatCode="dd/mm/yyyy"/>
    </dxf>
    <dxf>
      <numFmt numFmtId="19" formatCode="dd/mm/yyyy"/>
    </dxf>
    <dxf>
      <numFmt numFmtId="19" formatCode="dd/mm/yyyy"/>
    </dxf>
    <dxf>
      <numFmt numFmtId="19" formatCode="dd/mm/yyyy"/>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 formatCode="0"/>
      <fill>
        <patternFill patternType="solid">
          <fgColor indexed="64"/>
          <bgColor theme="7" tint="0.59999389629810485"/>
        </patternFill>
      </fill>
      <alignment horizontal="center" vertical="bottom" textRotation="0" wrapText="0" indent="0" justifyLastLine="0" shrinkToFit="0" readingOrder="0"/>
    </dxf>
    <dxf>
      <numFmt numFmtId="1" formatCode="0"/>
      <fill>
        <patternFill patternType="solid">
          <fgColor indexed="64"/>
          <bgColor theme="7" tint="0.59999389629810485"/>
        </patternFill>
      </fill>
      <alignment horizontal="center" vertical="bottom" textRotation="0" wrapText="0" indent="0" justifyLastLine="0" shrinkToFit="0" readingOrder="0"/>
    </dxf>
    <dxf>
      <fill>
        <patternFill patternType="solid">
          <fgColor indexed="64"/>
          <bgColor theme="7" tint="0.59999389629810485"/>
        </patternFill>
      </fill>
    </dxf>
    <dxf>
      <alignment horizontal="center" vertical="bottom" textRotation="0" wrapText="0" indent="0" justifyLastLine="0" shrinkToFit="0" readingOrder="0"/>
    </dxf>
    <dxf>
      <font>
        <strike val="0"/>
        <outline val="0"/>
        <shadow val="0"/>
        <u val="none"/>
        <vertAlign val="baseline"/>
        <sz val="11"/>
        <color auto="1"/>
        <name val="Calibri"/>
        <family val="2"/>
        <scheme val="minor"/>
      </font>
      <fill>
        <patternFill patternType="solid">
          <fgColor indexed="64"/>
          <bgColor theme="6" tint="0.399975585192419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onnections" Target="connections.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Neill\Documents\Family%20Historian%20Projects\Our%20Family%20Tree\Our%20Family%20Tree.fh_data\Media\4%20-%20Digitised%20Items\The%20Royal%20Society%20of%20Musicians%20of%20Great%20Britain\The%20Royal%20Society%20of%20Musicians%20of%20Great%20Britain.xlsm" TargetMode="External"/><Relationship Id="rId1" Type="http://schemas.openxmlformats.org/officeDocument/2006/relationships/externalLinkPath" Target="file:///C:\Users\Neill\Documents\Family%20Historian%20Projects\Our%20Family%20Tree\Our%20Family%20Tree.fh_data\Media\4%20-%20Digitised%20Items\The%20Royal%20Society%20of%20Musicians%20of%20Great%20Britain\The%20Royal%20Society%20of%20Musicians%20of%20Great%20Britai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shBoard"/>
      <sheetName val="Full Profile"/>
      <sheetName val="Master List"/>
      <sheetName val="Relationship"/>
      <sheetName val="PhotoBook"/>
      <sheetName val="Artwork and Sculpture"/>
      <sheetName val="WikiTree"/>
      <sheetName val="Sheet3"/>
      <sheetName val="Dropdown Lists"/>
      <sheetName val="The Royal Society of Musicians "/>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growShrinkType="overwriteClear" preserveFormatting="0" adjustColumnWidth="0" connectionId="2" xr16:uid="{26077E4F-62E2-4F3C-9159-B87E0916ACF4}" autoFormatId="16" applyNumberFormats="0" applyBorderFormats="0" applyFontFormats="0" applyPatternFormats="0" applyAlignmentFormats="0" applyWidthHeightFormats="0">
  <queryTableRefresh nextId="6">
    <queryTableFields count="1">
      <queryTableField id="1" name="Item" tableColumnId="6"/>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ternalData_2" growShrinkType="overwriteClear" preserveFormatting="0" adjustColumnWidth="0" connectionId="1" xr16:uid="{D1750D8B-9A4B-40DA-8CA8-DD401B6E5F4B}" autoFormatId="16" applyNumberFormats="0" applyBorderFormats="0" applyFontFormats="0" applyPatternFormats="0" applyAlignmentFormats="0" applyWidthHeightFormats="0">
  <queryTableRefresh nextId="2">
    <queryTableFields count="1">
      <queryTableField id="1" name="Creator" tableColumnId="2"/>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ExternalData_3" growShrinkType="overwriteClear" preserveFormatting="0" adjustColumnWidth="0" connectionId="3" xr16:uid="{B3AF0D92-C8AD-4A60-A6BF-C3F8437BECB5}" autoFormatId="16" applyNumberFormats="0" applyBorderFormats="0" applyFontFormats="0" applyPatternFormats="0" applyAlignmentFormats="0" applyWidthHeightFormats="0">
  <queryTableRefresh nextId="2">
    <queryTableFields count="1">
      <queryTableField id="1" name="Title" tableColumnId="2"/>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FADF8F9-9A98-4B59-86A5-BAC88CCFC34F}" name="qOutputItem" displayName="qOutputItem" ref="A16:A18" tableType="queryTable" totalsRowShown="0" headerRowDxfId="4">
  <autoFilter ref="A16:A18" xr:uid="{2FADF8F9-9A98-4B59-86A5-BAC88CCFC34F}">
    <filterColumn colId="0" hiddenButton="1"/>
  </autoFilter>
  <tableColumns count="1">
    <tableColumn id="6" xr3:uid="{824E7124-5326-447D-B935-70933F4F5194}" uniqueName="6" name="Item" queryTableFieldId="1" dataDxfId="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8305FB2B-4318-44A2-A131-CF3C780B4A20}" name="tMasterSel" displayName="tMasterSel" ref="E1:E2" headerRowDxfId="7" dataDxfId="8" tableBorderDxfId="10">
  <autoFilter ref="E1:E2" xr:uid="{8305FB2B-4318-44A2-A131-CF3C780B4A20}">
    <filterColumn colId="0" hiddenButton="1"/>
  </autoFilter>
  <tableColumns count="1">
    <tableColumn id="1" xr3:uid="{E1C9FCD0-9E47-4920-AFA0-AF71FFCF1E40}" name="Master ID" dataDxfId="9" totalsRowDxfId="3"/>
  </tableColumns>
  <tableStyleInfo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ABDB7E53-6DA9-4292-81F6-40FDA8581FAF}" name="qOutputCreator" displayName="qOutputCreator" ref="C16:C18" tableType="queryTable" totalsRowShown="0" headerRowDxfId="6">
  <autoFilter ref="C16:C18" xr:uid="{ABDB7E53-6DA9-4292-81F6-40FDA8581FAF}">
    <filterColumn colId="0" hiddenButton="1"/>
  </autoFilter>
  <tableColumns count="1">
    <tableColumn id="2" xr3:uid="{044BD29B-7DF7-456C-8AE6-20AFB06BACCF}" uniqueName="2" name="Creator" queryTableFieldId="1" dataDxfId="1"/>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E9EC6AD-EC00-4A92-B6D8-59518B4339DA}" name="qOutputTitle" displayName="qOutputTitle" ref="F16:F18" tableType="queryTable" totalsRowShown="0" headerRowDxfId="5">
  <autoFilter ref="F16:F18" xr:uid="{6E9EC6AD-EC00-4A92-B6D8-59518B4339DA}">
    <filterColumn colId="0" hiddenButton="1"/>
  </autoFilter>
  <tableColumns count="1">
    <tableColumn id="2" xr3:uid="{D9D0450B-C318-49FE-95CF-E03747E445BD}" uniqueName="2" name="Title" queryTableFieldId="1" dataDxfId="0"/>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FF03DA4-967D-4571-B883-C50FD6879866}" name="tMaster" displayName="tMaster" ref="A4:AF9" totalsRowShown="0" headerRowDxfId="36">
  <autoFilter ref="A4:AF9" xr:uid="{00000000-0001-0000-0300-000000000000}"/>
  <tableColumns count="32">
    <tableColumn id="1" xr3:uid="{0E9A891E-7212-4D63-8086-6D707FC5DD34}" name="Master ID" dataDxfId="35"/>
    <tableColumn id="2" xr3:uid="{FD4FE172-33AC-4F0C-8467-180A42ADAB1A}" name="Name" dataDxfId="34">
      <calculatedColumnFormula>(G5 &amp;" - " &amp; ""&amp; H5 &amp;" (" &amp; C5 &amp; "-" &amp; D5 &amp;") - RSM No - "&amp; ""&amp;U5)</calculatedColumnFormula>
    </tableColumn>
    <tableColumn id="3" xr3:uid="{A801A9B9-11F0-4F5F-94CA-DB3473BF2F3D}" name="Birth Year" dataDxfId="33">
      <calculatedColumnFormula>IF(ISBLANK(L5),"?",IF(ISTEXT(L5),RIGHT(L5,4),YEAR(L5)))</calculatedColumnFormula>
    </tableColumn>
    <tableColumn id="4" xr3:uid="{31FB9509-25B6-4AD3-99E0-8028601645CB}" name="Death Year" dataDxfId="32">
      <calculatedColumnFormula>IF(ISBLANK(Q5),"?",IF(ISTEXT(Q5),RIGHT(Q5,4),YEAR(Q5)))</calculatedColumnFormula>
    </tableColumn>
    <tableColumn id="6" xr3:uid="{465B0A66-CF0E-4016-B680-9BFF6A383677}" name="Gender" dataDxfId="31"/>
    <tableColumn id="7" xr3:uid="{FFC32553-8718-4824-B29C-2AA5DE899793}" name="Title" dataDxfId="30"/>
    <tableColumn id="8" xr3:uid="{76348177-D946-4426-825E-5C21F40C54B3}" name="Surname"/>
    <tableColumn id="9" xr3:uid="{E48B3682-1274-485B-A238-8249A652F399}" name="Forname"/>
    <tableColumn id="10" xr3:uid="{35F6DE00-C2F2-40B1-8C23-8697703710BF}" name="Birth Name"/>
    <tableColumn id="11" xr3:uid="{D2EBDE75-0F95-44F5-8125-EC7B80902CDA}" name="Known As"/>
    <tableColumn id="12" xr3:uid="{70C6AF71-D098-4586-9866-35F6E59452EF}" name="Birth or Other Name"/>
    <tableColumn id="13" xr3:uid="{CC1442AE-A13A-4CC8-82ED-275E4099B4CC}" name="Date of Birth" dataDxfId="29"/>
    <tableColumn id="14" xr3:uid="{E25B998B-D891-4986-B492-4A0FB68AF4F1}" name="Estimated Birth Date Type"/>
    <tableColumn id="15" xr3:uid="{37051A93-5281-4AF3-A2DB-9940046B497F}" name="Baptism Date" dataDxfId="28"/>
    <tableColumn id="16" xr3:uid="{736F34F6-D3B6-4AF3-BCA5-5C4BCDE3306E}" name="Marriage Date" dataDxfId="27"/>
    <tableColumn id="17" xr3:uid="{9A045833-CC81-425E-8C76-11A8A8F82D1F}" name="Spouse Name" dataDxfId="26"/>
    <tableColumn id="18" xr3:uid="{06A89215-48A1-4242-9180-457FD8BE34D5}" name="Date of Death" dataDxfId="25"/>
    <tableColumn id="19" xr3:uid="{F9387A95-7E53-41A5-A335-63AC90B23C05}" name="Estimated Death Date" dataDxfId="24"/>
    <tableColumn id="20" xr3:uid="{16BC11DA-0EE4-40C6-B066-A0A49D65709D}" name="Burial Date" dataDxfId="23"/>
    <tableColumn id="21" xr3:uid="{31318750-9F30-4383-8066-BB8DB50824DE}" name="Type of Member" dataDxfId="22"/>
    <tableColumn id="22" xr3:uid="{01AB8C53-C819-46A5-BDB6-DE173E575674}" name="RSM Inventory No" dataDxfId="21"/>
    <tableColumn id="23" xr3:uid="{B9EC0638-9C0F-4E75-A79A-B31E8DB94D4F}" name="Role in RSM" dataDxfId="20"/>
    <tableColumn id="24" xr3:uid="{9BC34E7E-25A5-441B-BBB1-86835E9A98E5}" name="Role in RSM Dates" dataDxfId="19"/>
    <tableColumn id="25" xr3:uid="{AAF113BE-9E64-4BA9-BA06-5B84E6484122}" name="Awards"/>
    <tableColumn id="26" xr3:uid="{2E50B45A-605B-4EEA-A66D-2E104F324643}" name="Member Book Page" dataDxfId="18"/>
    <tableColumn id="27" xr3:uid="{B7025F90-F6C9-4467-BCCA-E8ADB57DAC78}" name="Admitted to RSM Date" dataDxfId="17"/>
    <tableColumn id="28" xr3:uid="{25B0F108-7CDE-4A0E-9640-C165948AFD8A}" name="Estimated Admittance Type to RSM"/>
    <tableColumn id="29" xr3:uid="{4AB1CE4A-3D37-4961-A65F-0E95849B88E5}" name="Left Membership Date" dataDxfId="16"/>
    <tableColumn id="30" xr3:uid="{34806721-7562-4DB5-894A-537E4494D6FB}" name="Reason for Leaving" dataDxfId="15"/>
    <tableColumn id="31" xr3:uid="{6B075FA0-6FAB-47D6-95BC-AB5D2EE6FF97}" name="Additional Notes" dataDxfId="14"/>
    <tableColumn id="32" xr3:uid="{91DD5A63-9F14-4B6B-92B7-408CDC8115CC}" name="Comments" dataDxfId="13"/>
    <tableColumn id="33" xr3:uid="{6D41B24A-D79D-4730-9EE1-77EA1176BC03}" name="Recommendation Paper Notes"/>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CC42847-5A13-46C5-99F0-4A07C4D1614B}" name="tArtwork" displayName="tArtwork" ref="A2:Q14" totalsRowShown="0" headerRowDxfId="12">
  <autoFilter ref="A2:Q14" xr:uid="{8CC42847-5A13-46C5-99F0-4A07C4D1614B}"/>
  <sortState xmlns:xlrd2="http://schemas.microsoft.com/office/spreadsheetml/2017/richdata2" ref="B3:Q11">
    <sortCondition ref="B3:B11"/>
  </sortState>
  <tableColumns count="17">
    <tableColumn id="1" xr3:uid="{5AE7FE46-8A79-46AF-8ED0-7D2BE3D9444A}" name="Master-ID"/>
    <tableColumn id="2" xr3:uid="{8E11786D-DA3B-4779-991B-F58234107C80}" name="Name" dataDxfId="11">
      <calculatedColumnFormula>IFERROR(INDEX([1]!tMaster[Name],MATCH(A3, [1]!tMaster[Master ID],0)),"&lt;&lt;&lt; Add the Person's Master ID")</calculatedColumnFormula>
    </tableColumn>
    <tableColumn id="5" xr3:uid="{95A6F95B-F147-43D4-B059-F54742A004F7}" name="Item"/>
    <tableColumn id="4" xr3:uid="{BAAF2CA0-CFC3-4CA8-B35C-BAC335D593DC}" name="Art No"/>
    <tableColumn id="6" xr3:uid="{9F1FBAF7-F310-4A69-91B1-7506B871FA56}" name="Creator"/>
    <tableColumn id="7" xr3:uid="{627BB82E-A690-4C1C-A2FE-5FDC1EB04D0E}" name="Title"/>
    <tableColumn id="9" xr3:uid="{411C72EC-063F-4A5D-B487-D69D1B93979F}" name="Date of Creation"/>
    <tableColumn id="10" xr3:uid="{22F1001F-51CC-46E7-8F0A-916BE3711156}" name="Size"/>
    <tableColumn id="11" xr3:uid="{68B7E18E-3165-40AB-B07B-47E2BC3633B2}" name="Description"/>
    <tableColumn id="12" xr3:uid="{D132DB38-F630-4E40-8AC6-F3252249686C}" name="Contribution"/>
    <tableColumn id="13" xr3:uid="{DA925CA1-7C31-45B2-8967-4757BBA40446}" name="Provenance"/>
    <tableColumn id="14" xr3:uid="{C4C78634-F779-4145-BEC0-75E0880C1455}" name="Date of Acquisition"/>
    <tableColumn id="15" xr3:uid="{FA7E5BDF-B046-4735-8CCD-2469066A45B4}" name="Exhibition Note"/>
    <tableColumn id="16" xr3:uid="{DF3353B1-6205-4ADD-89F7-59A876281008}" name="Literature"/>
    <tableColumn id="18" xr3:uid="{72D83A1D-4FC5-480D-BA21-ABE9A19C00E2}" name="Name Subject"/>
    <tableColumn id="19" xr3:uid="{081DF80F-27B2-4539-803D-FC1A06813DC8}" name="NONMEMFIRS"/>
    <tableColumn id="20" xr3:uid="{EF18C2FB-D3A3-4F75-8D58-F2695F0B1488}" name="Queries"/>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4" Type="http://schemas.openxmlformats.org/officeDocument/2006/relationships/table" Target="../tables/table4.xml"/></Relationships>
</file>

<file path=xl/worksheets/_rels/sheet2.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415AFA-9D1D-4DDC-B4DF-DFE6FBDEC3C4}">
  <sheetPr codeName="FullProfile"/>
  <dimension ref="A1:R36"/>
  <sheetViews>
    <sheetView tabSelected="1" workbookViewId="0">
      <selection activeCell="E2" sqref="E2"/>
    </sheetView>
  </sheetViews>
  <sheetFormatPr defaultRowHeight="15" x14ac:dyDescent="0.25"/>
  <cols>
    <col min="1" max="1" width="5.140625" bestFit="1" customWidth="1"/>
    <col min="2" max="2" width="18.42578125" customWidth="1"/>
    <col min="3" max="3" width="10.140625" customWidth="1"/>
    <col min="4" max="4" width="10.7109375" customWidth="1"/>
    <col min="5" max="5" width="26.85546875" customWidth="1"/>
    <col min="6" max="6" width="15.28515625" customWidth="1"/>
    <col min="7" max="7" width="10.42578125" customWidth="1"/>
    <col min="8" max="8" width="15" customWidth="1"/>
    <col min="9" max="9" width="12" customWidth="1"/>
    <col min="10" max="10" width="12.42578125" customWidth="1"/>
    <col min="11" max="11" width="16.7109375" customWidth="1"/>
    <col min="12" max="12" width="10.7109375" bestFit="1" customWidth="1"/>
    <col min="13" max="13" width="15.28515625" customWidth="1"/>
    <col min="14" max="14" width="10.85546875" customWidth="1"/>
    <col min="15" max="15" width="10.28515625" customWidth="1"/>
  </cols>
  <sheetData>
    <row r="1" spans="1:18" x14ac:dyDescent="0.25">
      <c r="E1" s="87" t="s">
        <v>114</v>
      </c>
      <c r="F1" s="65" t="s">
        <v>115</v>
      </c>
      <c r="G1" s="65"/>
      <c r="H1" s="65"/>
      <c r="I1" s="65"/>
      <c r="J1" s="66"/>
    </row>
    <row r="2" spans="1:18" x14ac:dyDescent="0.25">
      <c r="E2" s="88">
        <v>75</v>
      </c>
      <c r="F2" s="71" t="str">
        <f>INDEX(tMaster[Name],IndexMasterID)</f>
        <v>Bach - Johann Sebastian (1685-1750) - RSM No - 0</v>
      </c>
      <c r="G2" s="71"/>
      <c r="H2" s="71"/>
      <c r="I2" s="71"/>
      <c r="J2" s="72"/>
    </row>
    <row r="3" spans="1:18" x14ac:dyDescent="0.25">
      <c r="G3" s="6"/>
      <c r="H3" s="2"/>
    </row>
    <row r="4" spans="1:18" x14ac:dyDescent="0.25">
      <c r="A4" s="24" t="s">
        <v>43</v>
      </c>
    </row>
    <row r="5" spans="1:18" ht="28.5" customHeight="1" x14ac:dyDescent="0.25">
      <c r="A5" s="69" t="s">
        <v>118</v>
      </c>
      <c r="B5" s="70"/>
      <c r="C5" s="70"/>
      <c r="D5" s="28" t="str">
        <f>tMaster[[#Headers],[Birth Name]]</f>
        <v>Birth Name</v>
      </c>
      <c r="E5" s="28" t="str">
        <f>tMaster[[#Headers],[Known As]]</f>
        <v>Known As</v>
      </c>
      <c r="F5" s="29" t="str">
        <f>tMaster[[#Headers],[Birth or Other Name]]</f>
        <v>Birth or Other Name</v>
      </c>
      <c r="G5" s="30" t="str">
        <f>tMaster[[#Headers],[Date of Birth]]</f>
        <v>Date of Birth</v>
      </c>
      <c r="H5" s="30" t="str">
        <f>tMaster[[#Headers],[Estimated Birth Date Type]]</f>
        <v>Estimated Birth Date Type</v>
      </c>
      <c r="I5" s="30" t="str">
        <f>tMaster[[#Headers],[Baptism Date]]</f>
        <v>Baptism Date</v>
      </c>
      <c r="J5" s="30" t="str">
        <f>tMaster[[#Headers],[Marriage Date]]</f>
        <v>Marriage Date</v>
      </c>
      <c r="K5" s="29" t="str">
        <f>tMaster[[#Headers],[Spouse Name]]</f>
        <v>Spouse Name</v>
      </c>
      <c r="L5" s="29" t="str">
        <f>tMaster[[#Headers],[Date of Death]]</f>
        <v>Date of Death</v>
      </c>
      <c r="M5" s="30" t="str">
        <f>tMaster[[#Headers],[Estimated Death Date]]</f>
        <v>Estimated Death Date</v>
      </c>
      <c r="N5" s="31" t="str">
        <f>tMaster[[#Headers],[Burial Date]]</f>
        <v>Burial Date</v>
      </c>
    </row>
    <row r="6" spans="1:18" x14ac:dyDescent="0.25">
      <c r="A6" s="2" t="str">
        <f>INDEX(tMaster[Title],IndexMasterID)&amp;""</f>
        <v>Mr</v>
      </c>
      <c r="B6" s="2" t="str">
        <f>INDEX(tMaster[Forname],IndexMasterID)&amp;""</f>
        <v>Johann Sebastian</v>
      </c>
      <c r="C6" s="2" t="str">
        <f>INDEX(tMaster[Surname],IndexMasterID)&amp;""</f>
        <v>Bach</v>
      </c>
      <c r="D6" t="str">
        <f>INDEX(tMaster[Birth Name],IndexMasterID)&amp;""</f>
        <v/>
      </c>
      <c r="E6" s="5" t="str">
        <f>INDEX(tMaster[Known As],IndexMasterID)&amp;""</f>
        <v/>
      </c>
      <c r="F6" t="str">
        <f>INDEX(tMaster[Birth or Other Name],IndexMasterID)&amp;""</f>
        <v/>
      </c>
      <c r="G6" t="str">
        <f>INDEX(tMaster[Date of Birth],IndexMasterID)</f>
        <v>00/00/1685</v>
      </c>
      <c r="H6" t="str">
        <f>INDEX(tMaster[Estimated Birth Date Type],IndexMasterID)&amp;""</f>
        <v/>
      </c>
      <c r="I6" s="2" t="str">
        <f>INDEX(tMaster[Baptism Date],IndexMasterID)&amp;""</f>
        <v/>
      </c>
      <c r="J6" s="1" t="str">
        <f>INDEX(tMaster[Marriage Date],IndexMasterID)&amp;""</f>
        <v/>
      </c>
      <c r="K6" s="2" t="str">
        <f>INDEX(tMaster[Spouse Name],IndexMasterID)&amp;""</f>
        <v/>
      </c>
      <c r="L6" s="1" t="str">
        <f>IFERROR(INDEX(tMaster[Date of Death],IndexMasterID),"")</f>
        <v>00/00/1750</v>
      </c>
      <c r="M6" t="str">
        <f>INDEX(tMaster[Estimated Death Date],IndexMasterID)&amp;""</f>
        <v/>
      </c>
      <c r="N6" s="1">
        <f>INDEX(tMaster[Burial Date],IndexMasterID)</f>
        <v>0</v>
      </c>
    </row>
    <row r="7" spans="1:18" ht="3" customHeight="1" x14ac:dyDescent="0.25">
      <c r="A7" s="35"/>
      <c r="B7" s="35"/>
      <c r="C7" s="35"/>
      <c r="D7" s="35"/>
      <c r="E7" s="35"/>
      <c r="F7" s="35"/>
      <c r="G7" s="35"/>
      <c r="H7" s="35"/>
      <c r="I7" s="35"/>
      <c r="J7" s="35"/>
      <c r="K7" s="35"/>
      <c r="L7" s="35"/>
      <c r="M7" s="35"/>
      <c r="N7" s="35"/>
    </row>
    <row r="8" spans="1:18" x14ac:dyDescent="0.25">
      <c r="A8" s="24" t="s">
        <v>36</v>
      </c>
    </row>
    <row r="9" spans="1:18" ht="60" customHeight="1" x14ac:dyDescent="0.25">
      <c r="A9" s="67" t="str">
        <f>tMaster[[#Headers],[Type of Member]]</f>
        <v>Type of Member</v>
      </c>
      <c r="B9" s="68"/>
      <c r="C9" s="25" t="str">
        <f>tMaster[[#Headers],[RSM Inventory No]]</f>
        <v>RSM Inventory No</v>
      </c>
      <c r="D9" s="25" t="str">
        <f>tMaster[[#Headers],[Role in RSM]]</f>
        <v>Role in RSM</v>
      </c>
      <c r="E9" s="25" t="str">
        <f>tMaster[[#Headers],[Role in RSM Dates]]</f>
        <v>Role in RSM Dates</v>
      </c>
      <c r="F9" s="25" t="str">
        <f>tMaster[[#Headers],[Awards]]</f>
        <v>Awards</v>
      </c>
      <c r="G9" s="26" t="str">
        <f>tMaster[[#Headers],[Member Book Page]]</f>
        <v>Member Book Page</v>
      </c>
      <c r="H9" s="27" t="str">
        <f>tMaster[[#Headers],[Admitted to RSM Date]]</f>
        <v>Admitted to RSM Date</v>
      </c>
      <c r="I9" s="27" t="str">
        <f>tMaster[[#Headers],[Estimated Admittance Type to RSM]]</f>
        <v>Estimated Admittance Type to RSM</v>
      </c>
      <c r="J9" s="27" t="str">
        <f>tMaster[[#Headers],[Left Membership Date]]</f>
        <v>Left Membership Date</v>
      </c>
      <c r="K9" s="58" t="str">
        <f>tMaster[[#Headers],[Reason for Leaving]]</f>
        <v>Reason for Leaving</v>
      </c>
      <c r="L9" s="58"/>
      <c r="M9" s="58" t="str">
        <f>tMaster[[#Headers],[Comments]]</f>
        <v>Comments</v>
      </c>
      <c r="N9" s="61"/>
    </row>
    <row r="10" spans="1:18" ht="19.5" customHeight="1" x14ac:dyDescent="0.25">
      <c r="A10" s="59" t="str">
        <f>INDEX(tMaster[Type of Member],IndexMasterID)&amp;""</f>
        <v>Non-Member</v>
      </c>
      <c r="B10" s="59"/>
      <c r="C10" s="32" t="str">
        <f>INDEX(tMaster[RSM Inventory No],IndexMasterID)&amp;""</f>
        <v>0</v>
      </c>
      <c r="D10" s="8" t="str">
        <f>INDEX(tMaster[Role in RSM],IndexMasterID)&amp;""</f>
        <v/>
      </c>
      <c r="E10" s="8" t="str">
        <f>INDEX(tMaster[Role in RSM Dates],IndexMasterID)&amp;""</f>
        <v/>
      </c>
      <c r="F10" s="8" t="str">
        <f>INDEX(tMaster[Awards],IndexMasterID)&amp;""</f>
        <v/>
      </c>
      <c r="G10" s="32" t="str">
        <f>INDEX(tMaster[Member Book Page],IndexMasterID)&amp;""</f>
        <v>0</v>
      </c>
      <c r="H10" s="33" t="str">
        <f>INDEX(tMaster[Admitted to RSM Date],IndexMasterID)</f>
        <v>00/00/0000</v>
      </c>
      <c r="I10" s="8" t="str">
        <f>INDEX(tMaster[Estimated Admittance Type to RSM],IndexMasterID)&amp;""</f>
        <v/>
      </c>
      <c r="J10" s="33" t="str">
        <f>INDEX(tMaster[Left Membership Date],IndexMasterID)&amp;""</f>
        <v/>
      </c>
      <c r="K10" s="59" t="str">
        <f>INDEX(tMaster[Reason for Leaving],IndexMasterID)&amp;""</f>
        <v/>
      </c>
      <c r="L10" s="59"/>
      <c r="M10" s="64" t="str">
        <f>INDEX(tMaster[Comments],IndexMasterID)&amp;""</f>
        <v/>
      </c>
      <c r="N10" s="64"/>
      <c r="O10" s="34"/>
      <c r="P10" s="34"/>
      <c r="Q10" s="34"/>
      <c r="R10" s="34"/>
    </row>
    <row r="11" spans="1:18" ht="15" customHeight="1" x14ac:dyDescent="0.25">
      <c r="A11" s="60" t="str">
        <f>tMaster[[#Headers],[Additional Notes]]</f>
        <v>Additional Notes</v>
      </c>
      <c r="B11" s="58"/>
      <c r="C11" s="58"/>
      <c r="D11" s="58"/>
      <c r="E11" s="58"/>
      <c r="F11" s="58"/>
      <c r="G11" s="58"/>
      <c r="H11" s="58"/>
      <c r="I11" s="58"/>
      <c r="J11" s="58"/>
      <c r="K11" s="58"/>
      <c r="L11" s="58"/>
      <c r="M11" s="58"/>
      <c r="N11" s="61"/>
    </row>
    <row r="12" spans="1:18" x14ac:dyDescent="0.25">
      <c r="A12" s="63" t="str">
        <f>INDEX(tMaster[Additional Notes],IndexMasterID)&amp;""</f>
        <v/>
      </c>
      <c r="B12" s="63"/>
      <c r="C12" s="63"/>
      <c r="D12" s="63"/>
      <c r="E12" s="63"/>
      <c r="F12" s="63"/>
      <c r="G12" s="63"/>
      <c r="H12" s="63"/>
      <c r="I12" s="63"/>
      <c r="J12" s="63"/>
      <c r="K12" s="63"/>
      <c r="L12" s="63"/>
      <c r="M12" s="63"/>
      <c r="N12" s="63"/>
    </row>
    <row r="13" spans="1:18" ht="15.75" customHeight="1" x14ac:dyDescent="0.25">
      <c r="A13" s="60" t="str">
        <f>tMaster[[#Headers],[Recommendation Paper Notes]]</f>
        <v>Recommendation Paper Notes</v>
      </c>
      <c r="B13" s="58"/>
      <c r="C13" s="58"/>
      <c r="D13" s="58"/>
      <c r="E13" s="58"/>
      <c r="F13" s="58"/>
      <c r="G13" s="58"/>
      <c r="H13" s="58"/>
      <c r="I13" s="58"/>
      <c r="J13" s="58"/>
      <c r="K13" s="58"/>
      <c r="L13" s="58"/>
      <c r="M13" s="58"/>
      <c r="N13" s="61"/>
    </row>
    <row r="14" spans="1:18" ht="45.75" customHeight="1" x14ac:dyDescent="0.25">
      <c r="A14" s="62" t="str">
        <f>INDEX(tMaster[Recommendation Paper Notes],IndexMasterID)&amp;""</f>
        <v/>
      </c>
      <c r="B14" s="62"/>
      <c r="C14" s="62"/>
      <c r="D14" s="62"/>
      <c r="E14" s="62"/>
      <c r="F14" s="62"/>
      <c r="G14" s="62"/>
      <c r="H14" s="62"/>
      <c r="I14" s="62"/>
      <c r="J14" s="62"/>
      <c r="K14" s="62"/>
      <c r="L14" s="62"/>
      <c r="M14" s="62"/>
      <c r="N14" s="62"/>
    </row>
    <row r="15" spans="1:18" x14ac:dyDescent="0.25">
      <c r="A15" s="73" t="s">
        <v>163</v>
      </c>
      <c r="B15" s="73"/>
      <c r="C15" s="51"/>
      <c r="D15" s="51"/>
      <c r="E15" s="51"/>
      <c r="F15" s="51"/>
      <c r="G15" s="51"/>
      <c r="H15" s="51"/>
      <c r="I15" s="51"/>
      <c r="J15" s="51"/>
      <c r="K15" s="51"/>
    </row>
    <row r="16" spans="1:18" ht="15" customHeight="1" x14ac:dyDescent="0.25">
      <c r="A16" s="84" t="s">
        <v>121</v>
      </c>
      <c r="B16" s="89"/>
      <c r="C16" s="85" t="s">
        <v>100</v>
      </c>
      <c r="D16" s="90"/>
      <c r="E16" s="90"/>
      <c r="F16" s="86" t="s">
        <v>9</v>
      </c>
      <c r="G16" s="91"/>
      <c r="H16" s="91"/>
      <c r="I16" s="91"/>
      <c r="J16" s="91"/>
      <c r="K16" s="91"/>
    </row>
    <row r="17" spans="1:14" x14ac:dyDescent="0.25">
      <c r="A17" s="81" t="s">
        <v>67</v>
      </c>
      <c r="C17" s="81" t="s">
        <v>137</v>
      </c>
      <c r="F17" s="81" t="s">
        <v>138</v>
      </c>
    </row>
    <row r="18" spans="1:14" x14ac:dyDescent="0.25">
      <c r="A18" s="81" t="s">
        <v>49</v>
      </c>
      <c r="C18" s="81" t="s">
        <v>144</v>
      </c>
      <c r="F18" s="81" t="s">
        <v>145</v>
      </c>
    </row>
    <row r="19" spans="1:14" x14ac:dyDescent="0.25">
      <c r="A19" s="81"/>
      <c r="C19" s="81"/>
      <c r="F19" s="81"/>
    </row>
    <row r="20" spans="1:14" x14ac:dyDescent="0.25">
      <c r="A20" s="81"/>
      <c r="C20" s="81"/>
      <c r="F20" s="81"/>
    </row>
    <row r="21" spans="1:14" x14ac:dyDescent="0.25">
      <c r="A21" s="81"/>
      <c r="C21" s="81"/>
      <c r="F21" s="81"/>
    </row>
    <row r="22" spans="1:14" x14ac:dyDescent="0.25">
      <c r="A22" s="81"/>
      <c r="C22" s="81"/>
      <c r="F22" s="81"/>
    </row>
    <row r="23" spans="1:14" x14ac:dyDescent="0.25">
      <c r="A23" s="81"/>
      <c r="C23" s="81"/>
      <c r="F23" s="81"/>
    </row>
    <row r="24" spans="1:14" ht="15.75" customHeight="1" x14ac:dyDescent="0.25">
      <c r="A24" s="81"/>
      <c r="C24" s="81"/>
      <c r="F24" s="81"/>
      <c r="L24" s="51"/>
      <c r="M24" s="51"/>
      <c r="N24" s="51"/>
    </row>
    <row r="25" spans="1:14" ht="15" customHeight="1" x14ac:dyDescent="0.25">
      <c r="A25" s="81"/>
      <c r="C25" s="81"/>
      <c r="F25" s="81"/>
      <c r="L25" s="51"/>
      <c r="M25" s="51"/>
      <c r="N25" s="51"/>
    </row>
    <row r="26" spans="1:14" x14ac:dyDescent="0.25">
      <c r="A26" s="81"/>
      <c r="C26" s="81" t="str" cm="1">
        <f t="array" aca="1" ref="C26:C34" ca="1">IFERROR(OFFSET(tArtwork[Master-ID],MATCH($E$2,tArtwork[Master-ID],0)-1,COLUMN()+1,COUNTIF(tArtwork[Master-ID],$E$2),1),"")</f>
        <v/>
      </c>
      <c r="F26" s="81" t="str" cm="1">
        <f t="array" aca="1" ref="F26:F34" ca="1">IFERROR(OFFSET(tArtwork[Master-ID],MATCH($E$2,tArtwork[Master-ID],0)-1,COLUMN()-1,COUNTIF(tArtwork[Master-ID],$E$2),1),"")</f>
        <v/>
      </c>
    </row>
    <row r="27" spans="1:14" x14ac:dyDescent="0.25">
      <c r="A27" s="81"/>
      <c r="C27" s="81" t="str">
        <f ca="1"/>
        <v/>
      </c>
      <c r="F27" s="81" t="str">
        <f ca="1"/>
        <v/>
      </c>
    </row>
    <row r="28" spans="1:14" x14ac:dyDescent="0.25">
      <c r="A28" s="81"/>
      <c r="C28" s="81" t="str">
        <f ca="1"/>
        <v/>
      </c>
      <c r="F28" s="81" t="str">
        <f ca="1"/>
        <v/>
      </c>
    </row>
    <row r="29" spans="1:14" x14ac:dyDescent="0.25">
      <c r="A29" s="81"/>
      <c r="C29" s="81" t="str">
        <f ca="1"/>
        <v/>
      </c>
      <c r="F29" s="81" t="str">
        <f ca="1"/>
        <v/>
      </c>
    </row>
    <row r="30" spans="1:14" x14ac:dyDescent="0.25">
      <c r="A30" s="81"/>
      <c r="C30" s="81" t="str">
        <f ca="1"/>
        <v/>
      </c>
      <c r="F30" s="81" t="str">
        <f ca="1"/>
        <v/>
      </c>
    </row>
    <row r="31" spans="1:14" x14ac:dyDescent="0.25">
      <c r="A31" s="81"/>
      <c r="C31" s="81" t="str">
        <f ca="1"/>
        <v/>
      </c>
      <c r="F31" s="81" t="str">
        <f ca="1"/>
        <v/>
      </c>
    </row>
    <row r="32" spans="1:14" x14ac:dyDescent="0.25">
      <c r="A32" s="81"/>
      <c r="C32" s="81" t="str">
        <f ca="1"/>
        <v/>
      </c>
      <c r="F32" s="81" t="str">
        <f ca="1"/>
        <v/>
      </c>
    </row>
    <row r="33" spans="1:6" x14ac:dyDescent="0.25">
      <c r="A33" s="81"/>
      <c r="C33" s="81" t="str">
        <f ca="1"/>
        <v/>
      </c>
      <c r="F33" s="81" t="str">
        <f ca="1"/>
        <v/>
      </c>
    </row>
    <row r="34" spans="1:6" x14ac:dyDescent="0.25">
      <c r="A34" s="81"/>
      <c r="C34" s="81" t="str">
        <f ca="1"/>
        <v/>
      </c>
      <c r="F34" s="81" t="str">
        <f ca="1"/>
        <v/>
      </c>
    </row>
    <row r="35" spans="1:6" x14ac:dyDescent="0.25">
      <c r="A35" s="81"/>
      <c r="C35" s="81"/>
      <c r="F35" s="81"/>
    </row>
    <row r="36" spans="1:6" x14ac:dyDescent="0.25">
      <c r="A36" s="81"/>
      <c r="C36" s="81"/>
      <c r="F36" s="81"/>
    </row>
  </sheetData>
  <mergeCells count="14">
    <mergeCell ref="A15:B15"/>
    <mergeCell ref="F1:J1"/>
    <mergeCell ref="A9:B9"/>
    <mergeCell ref="A10:B10"/>
    <mergeCell ref="A5:C5"/>
    <mergeCell ref="F2:J2"/>
    <mergeCell ref="K9:L9"/>
    <mergeCell ref="K10:L10"/>
    <mergeCell ref="A13:N13"/>
    <mergeCell ref="A14:N14"/>
    <mergeCell ref="A12:N12"/>
    <mergeCell ref="M9:N9"/>
    <mergeCell ref="M10:N10"/>
    <mergeCell ref="A11:N11"/>
  </mergeCells>
  <phoneticPr fontId="5" type="noConversion"/>
  <dataValidations count="1">
    <dataValidation type="list" allowBlank="1" showInputMessage="1" showErrorMessage="1" sqref="E2" xr:uid="{7771D4C9-3AA9-4BFB-AD95-9478F4270920}">
      <formula1>INDIRECT("tMaster[Master ID]")</formula1>
    </dataValidation>
  </dataValidations>
  <pageMargins left="0.7" right="0.7" top="0.75" bottom="0.75" header="0.3" footer="0.3"/>
  <tableParts count="4">
    <tablePart r:id="rId1"/>
    <tablePart r:id="rId2"/>
    <tablePart r:id="rId3"/>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D0EC95DF-6612-475A-A3AF-AD89A29515C4}">
          <x14:formula1>
            <xm:f>'Master List'!$A$5:$A$7</xm:f>
          </x14:formula1>
          <xm:sqref>H3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aster"/>
  <dimension ref="A2:AF9"/>
  <sheetViews>
    <sheetView workbookViewId="0">
      <pane xSplit="8" ySplit="4" topLeftCell="I5" activePane="bottomRight" state="frozen"/>
      <selection pane="topRight" activeCell="M1" sqref="M1"/>
      <selection pane="bottomLeft" activeCell="A5" sqref="A5"/>
      <selection pane="bottomRight" activeCell="F4" sqref="F4"/>
    </sheetView>
  </sheetViews>
  <sheetFormatPr defaultRowHeight="15" x14ac:dyDescent="0.25"/>
  <cols>
    <col min="1" max="1" width="11.7109375" style="2" customWidth="1"/>
    <col min="2" max="2" width="60.85546875" hidden="1" customWidth="1"/>
    <col min="3" max="3" width="14.140625" style="4" hidden="1" customWidth="1"/>
    <col min="4" max="4" width="15.140625" style="4" hidden="1" customWidth="1"/>
    <col min="5" max="5" width="9.85546875" style="2" customWidth="1"/>
    <col min="6" max="6" width="9.140625" style="2"/>
    <col min="7" max="7" width="18.7109375" customWidth="1"/>
    <col min="8" max="8" width="20.7109375" customWidth="1"/>
    <col min="9" max="10" width="15.140625" customWidth="1"/>
    <col min="11" max="11" width="21.42578125" customWidth="1"/>
    <col min="12" max="12" width="14.28515625" style="1" customWidth="1"/>
    <col min="13" max="13" width="26" customWidth="1"/>
    <col min="14" max="14" width="14.85546875" style="5" customWidth="1"/>
    <col min="15" max="15" width="15.7109375" style="5" customWidth="1"/>
    <col min="16" max="16" width="15.28515625" style="5" customWidth="1"/>
    <col min="17" max="17" width="15.28515625" style="1" customWidth="1"/>
    <col min="18" max="18" width="22.28515625" style="3" customWidth="1"/>
    <col min="19" max="19" width="12.85546875" style="7" customWidth="1"/>
    <col min="20" max="20" width="17.85546875" style="2" customWidth="1"/>
    <col min="21" max="21" width="19.140625" style="2" customWidth="1"/>
    <col min="22" max="22" width="18.28515625" style="6" customWidth="1"/>
    <col min="23" max="23" width="19.140625" style="3" customWidth="1"/>
    <col min="24" max="24" width="10.42578125" customWidth="1"/>
    <col min="25" max="25" width="20.42578125" style="2" customWidth="1"/>
    <col min="26" max="26" width="22.85546875" style="2" customWidth="1"/>
    <col min="27" max="27" width="34.140625" customWidth="1"/>
    <col min="28" max="28" width="23" style="3" customWidth="1"/>
    <col min="29" max="29" width="19.7109375" style="2" customWidth="1"/>
    <col min="30" max="30" width="18.140625" style="2" customWidth="1"/>
    <col min="31" max="31" width="14.85546875" style="2" customWidth="1"/>
    <col min="32" max="32" width="30.140625" customWidth="1"/>
  </cols>
  <sheetData>
    <row r="2" spans="1:32" x14ac:dyDescent="0.25">
      <c r="A2" s="20" t="s">
        <v>43</v>
      </c>
      <c r="B2" s="20"/>
      <c r="C2" s="23"/>
      <c r="D2" s="23"/>
      <c r="E2" s="56"/>
      <c r="F2" s="20"/>
      <c r="G2" s="20"/>
      <c r="H2" s="20"/>
      <c r="I2" s="20"/>
      <c r="J2" s="20"/>
      <c r="K2" s="20"/>
      <c r="L2" s="20"/>
      <c r="M2" s="20"/>
      <c r="N2" s="20"/>
      <c r="O2" s="20"/>
      <c r="P2" s="20"/>
      <c r="Q2" s="20"/>
      <c r="R2" s="20"/>
      <c r="S2" s="21"/>
      <c r="T2" s="74" t="s">
        <v>36</v>
      </c>
      <c r="U2" s="75"/>
      <c r="V2" s="75"/>
      <c r="W2" s="75"/>
      <c r="X2" s="75"/>
      <c r="Y2" s="75"/>
      <c r="Z2" s="75"/>
      <c r="AA2" s="75"/>
      <c r="AB2" s="75"/>
      <c r="AC2" s="75"/>
      <c r="AD2" s="75"/>
      <c r="AE2" s="75"/>
      <c r="AF2" s="76"/>
    </row>
    <row r="3" spans="1:32" x14ac:dyDescent="0.25">
      <c r="A3" s="48"/>
      <c r="B3" s="10"/>
      <c r="C3" s="22"/>
      <c r="D3" s="22"/>
      <c r="E3" s="50"/>
      <c r="F3" s="12"/>
      <c r="G3" s="10"/>
      <c r="H3" s="10"/>
      <c r="I3" s="10"/>
      <c r="J3" s="10"/>
      <c r="K3" s="10"/>
      <c r="L3" s="12"/>
      <c r="M3" s="10"/>
      <c r="N3" s="10"/>
      <c r="O3" s="10"/>
      <c r="P3" s="10"/>
      <c r="Q3" s="12"/>
      <c r="R3" s="10"/>
      <c r="S3" s="11"/>
      <c r="T3" s="13"/>
      <c r="U3" s="14"/>
      <c r="V3" s="15"/>
      <c r="W3" s="16"/>
      <c r="X3" s="17"/>
      <c r="Y3" s="14"/>
      <c r="Z3" s="14"/>
      <c r="AA3" s="17"/>
      <c r="AB3" s="17"/>
      <c r="AC3" s="17"/>
      <c r="AD3" s="17"/>
      <c r="AE3" s="17"/>
      <c r="AF3" s="19"/>
    </row>
    <row r="4" spans="1:32" x14ac:dyDescent="0.25">
      <c r="A4" s="49" t="s">
        <v>114</v>
      </c>
      <c r="B4" s="38" t="s">
        <v>118</v>
      </c>
      <c r="C4" s="39" t="s">
        <v>112</v>
      </c>
      <c r="D4" s="39" t="s">
        <v>113</v>
      </c>
      <c r="E4" s="40" t="s">
        <v>7</v>
      </c>
      <c r="F4" s="40" t="s">
        <v>9</v>
      </c>
      <c r="G4" s="38" t="s">
        <v>0</v>
      </c>
      <c r="H4" s="38" t="s">
        <v>1</v>
      </c>
      <c r="I4" s="38" t="s">
        <v>39</v>
      </c>
      <c r="J4" s="38" t="s">
        <v>40</v>
      </c>
      <c r="K4" s="41" t="s">
        <v>122</v>
      </c>
      <c r="L4" s="42" t="s">
        <v>20</v>
      </c>
      <c r="M4" s="42" t="s">
        <v>37</v>
      </c>
      <c r="N4" s="42" t="s">
        <v>19</v>
      </c>
      <c r="O4" s="42" t="s">
        <v>23</v>
      </c>
      <c r="P4" s="41" t="s">
        <v>32</v>
      </c>
      <c r="Q4" s="41" t="s">
        <v>21</v>
      </c>
      <c r="R4" s="42" t="s">
        <v>27</v>
      </c>
      <c r="S4" s="43" t="s">
        <v>28</v>
      </c>
      <c r="T4" s="18" t="s">
        <v>5</v>
      </c>
      <c r="U4" s="44" t="s">
        <v>4</v>
      </c>
      <c r="V4" s="44" t="s">
        <v>35</v>
      </c>
      <c r="W4" s="44" t="s">
        <v>45</v>
      </c>
      <c r="X4" s="44" t="s">
        <v>38</v>
      </c>
      <c r="Y4" s="45" t="s">
        <v>2</v>
      </c>
      <c r="Z4" s="46" t="s">
        <v>29</v>
      </c>
      <c r="AA4" s="46" t="s">
        <v>119</v>
      </c>
      <c r="AB4" s="46" t="s">
        <v>33</v>
      </c>
      <c r="AC4" s="46" t="s">
        <v>34</v>
      </c>
      <c r="AD4" s="46" t="s">
        <v>116</v>
      </c>
      <c r="AE4" s="46" t="s">
        <v>117</v>
      </c>
      <c r="AF4" s="47" t="s">
        <v>44</v>
      </c>
    </row>
    <row r="5" spans="1:32" x14ac:dyDescent="0.25">
      <c r="A5" s="2">
        <v>726</v>
      </c>
      <c r="B5" s="10" t="str">
        <f t="shared" ref="B5:B7" si="0">(G5 &amp;" - " &amp; ""&amp; H5 &amp;" (" &amp; C5 &amp; "-" &amp; D5 &amp;") - RSM No - "&amp; ""&amp;U5)</f>
        <v>Handel - George Frideric (1685-1759) - RSM No - EM158</v>
      </c>
      <c r="C5" s="22" t="str">
        <f t="shared" ref="C5:C7" si="1">IF(ISBLANK(L5),"?",IF(ISTEXT(L5),RIGHT(L5,4),YEAR(L5)))</f>
        <v>1685</v>
      </c>
      <c r="D5" s="22" t="str">
        <f t="shared" ref="D5:D6" si="2">IF(ISBLANK(Q5),"?",IF(ISTEXT(Q5),RIGHT(Q5,4),YEAR(Q5)))</f>
        <v>1759</v>
      </c>
      <c r="E5" s="4" t="s">
        <v>8</v>
      </c>
      <c r="F5" s="2" t="s">
        <v>10</v>
      </c>
      <c r="G5" t="s">
        <v>15</v>
      </c>
      <c r="H5" t="s">
        <v>16</v>
      </c>
      <c r="L5" s="1" t="s">
        <v>26</v>
      </c>
      <c r="M5" s="2"/>
      <c r="P5"/>
      <c r="Q5" s="2" t="s">
        <v>42</v>
      </c>
      <c r="R5" s="7"/>
      <c r="T5" s="2" t="s">
        <v>6</v>
      </c>
      <c r="U5" s="2" t="s">
        <v>14</v>
      </c>
      <c r="Y5" s="2">
        <v>66</v>
      </c>
      <c r="Z5" s="1" t="s">
        <v>22</v>
      </c>
      <c r="AA5" s="9"/>
      <c r="AC5"/>
      <c r="AD5"/>
      <c r="AE5" s="5" t="s">
        <v>46</v>
      </c>
    </row>
    <row r="6" spans="1:32" x14ac:dyDescent="0.25">
      <c r="A6" s="2">
        <v>727</v>
      </c>
      <c r="B6" s="10" t="str">
        <f t="shared" si="0"/>
        <v>Handley - William Huntington (1815-1896) - RSM No - A408</v>
      </c>
      <c r="C6" s="22" t="str">
        <f t="shared" si="1"/>
        <v>1815</v>
      </c>
      <c r="D6" s="22" t="str">
        <f t="shared" si="2"/>
        <v>1896</v>
      </c>
      <c r="E6" s="4" t="s">
        <v>8</v>
      </c>
      <c r="F6" s="2" t="s">
        <v>10</v>
      </c>
      <c r="G6" t="s">
        <v>12</v>
      </c>
      <c r="H6" t="s">
        <v>13</v>
      </c>
      <c r="L6" s="1" t="s">
        <v>24</v>
      </c>
      <c r="M6" s="2"/>
      <c r="P6"/>
      <c r="Q6" s="2" t="s">
        <v>41</v>
      </c>
      <c r="R6" s="7"/>
      <c r="S6" s="2"/>
      <c r="T6" s="2" t="s">
        <v>6</v>
      </c>
      <c r="U6" s="2" t="s">
        <v>11</v>
      </c>
      <c r="Z6" s="1" t="s">
        <v>31</v>
      </c>
      <c r="AA6" s="9"/>
      <c r="AC6"/>
      <c r="AD6"/>
      <c r="AE6"/>
      <c r="AF6" s="5"/>
    </row>
    <row r="7" spans="1:32" x14ac:dyDescent="0.25">
      <c r="A7" s="2">
        <v>728</v>
      </c>
      <c r="B7" s="10" t="str">
        <f t="shared" si="0"/>
        <v>Hankins - Frederick Harold (1865-1936) - RSM No - 109</v>
      </c>
      <c r="C7" s="22" t="str">
        <f t="shared" si="1"/>
        <v>1865</v>
      </c>
      <c r="D7" s="22">
        <f>IF(ISBLANK(S7),"?",IF(ISTEXT(S7),RIGHT(S7,4),YEAR(S7)))</f>
        <v>1936</v>
      </c>
      <c r="E7" s="4" t="s">
        <v>8</v>
      </c>
      <c r="F7" s="2" t="s">
        <v>10</v>
      </c>
      <c r="G7" t="s">
        <v>17</v>
      </c>
      <c r="H7" t="s">
        <v>18</v>
      </c>
      <c r="L7" s="1" t="s">
        <v>25</v>
      </c>
      <c r="M7" s="2"/>
      <c r="P7"/>
      <c r="Q7" s="1" t="s">
        <v>3</v>
      </c>
      <c r="R7" s="7"/>
      <c r="S7" s="1">
        <v>13199</v>
      </c>
      <c r="T7" s="2" t="s">
        <v>6</v>
      </c>
      <c r="U7" s="2">
        <v>109</v>
      </c>
      <c r="Z7" s="1" t="s">
        <v>30</v>
      </c>
      <c r="AA7" s="9"/>
      <c r="AB7" s="1"/>
      <c r="AC7"/>
      <c r="AD7"/>
      <c r="AE7"/>
      <c r="AF7" s="5"/>
    </row>
    <row r="8" spans="1:32" x14ac:dyDescent="0.25">
      <c r="A8" s="2">
        <v>832</v>
      </c>
      <c r="B8" s="10" t="s">
        <v>130</v>
      </c>
      <c r="C8" s="22" t="s">
        <v>131</v>
      </c>
      <c r="D8" s="22" t="s">
        <v>132</v>
      </c>
      <c r="E8" s="2" t="s">
        <v>8</v>
      </c>
      <c r="F8" s="2" t="s">
        <v>10</v>
      </c>
      <c r="G8" t="s">
        <v>123</v>
      </c>
      <c r="H8" t="s">
        <v>124</v>
      </c>
      <c r="L8" s="1" t="s">
        <v>125</v>
      </c>
      <c r="Q8" s="1" t="s">
        <v>126</v>
      </c>
      <c r="T8" s="2" t="s">
        <v>6</v>
      </c>
      <c r="U8" s="2" t="s">
        <v>127</v>
      </c>
      <c r="Y8" s="2">
        <v>75</v>
      </c>
      <c r="Z8" s="2" t="s">
        <v>128</v>
      </c>
      <c r="AC8"/>
      <c r="AD8"/>
      <c r="AE8"/>
      <c r="AF8" s="5" t="s">
        <v>129</v>
      </c>
    </row>
    <row r="9" spans="1:32" x14ac:dyDescent="0.25">
      <c r="A9" s="2">
        <v>75</v>
      </c>
      <c r="B9" s="10" t="str">
        <f t="shared" ref="B9" si="3">(G9 &amp;" - " &amp; ""&amp; H9 &amp;" (" &amp; C9 &amp; "-" &amp; D9 &amp;") - RSM No - "&amp; ""&amp;U9)</f>
        <v>Bach - Johann Sebastian (1685-1750) - RSM No - 0</v>
      </c>
      <c r="C9" s="22" t="str">
        <f t="shared" ref="C9" si="4">IF(ISBLANK(L9),"?",IF(ISTEXT(L9),RIGHT(L9,4),YEAR(L9)))</f>
        <v>1685</v>
      </c>
      <c r="D9" s="22" t="str">
        <f t="shared" ref="D9" si="5">IF(ISBLANK(Q9),"?",IF(ISTEXT(Q9),RIGHT(Q9,4),YEAR(Q9)))</f>
        <v>1750</v>
      </c>
      <c r="E9" s="4" t="s">
        <v>8</v>
      </c>
      <c r="F9" s="2" t="s">
        <v>10</v>
      </c>
      <c r="G9" t="s">
        <v>142</v>
      </c>
      <c r="H9" t="s">
        <v>143</v>
      </c>
      <c r="L9" s="1" t="s">
        <v>150</v>
      </c>
      <c r="M9" s="2"/>
      <c r="Q9" s="1" t="s">
        <v>151</v>
      </c>
      <c r="R9" s="7"/>
      <c r="T9" s="2" t="s">
        <v>152</v>
      </c>
      <c r="U9" s="2">
        <v>0</v>
      </c>
      <c r="Y9" s="2">
        <v>0</v>
      </c>
      <c r="Z9" s="2" t="s">
        <v>3</v>
      </c>
      <c r="AA9" s="9"/>
      <c r="AC9"/>
      <c r="AD9"/>
      <c r="AE9"/>
      <c r="AF9" s="5"/>
    </row>
  </sheetData>
  <sortState xmlns:xlrd2="http://schemas.microsoft.com/office/spreadsheetml/2017/richdata2" ref="E4:AF7">
    <sortCondition ref="G4:G7"/>
  </sortState>
  <mergeCells count="1">
    <mergeCell ref="T2:AF2"/>
  </mergeCells>
  <dataValidations count="2">
    <dataValidation type="date" allowBlank="1" showInputMessage="1" showErrorMessage="1" errorTitle="Date Format" error="This Date or the Format is not allowed, please correct" sqref="N5:N9" xr:uid="{00000000-0002-0000-0300-00001F000000}">
      <formula1>#REF!</formula1>
      <formula2>#REF!</formula2>
    </dataValidation>
    <dataValidation type="list" allowBlank="1" showInputMessage="1" showErrorMessage="1" sqref="R5:R9 M5:M9 E5:E9 V5:V9 T5:T12" xr:uid="{00000000-0002-0000-0300-000011000000}">
      <formula1>#REF!</formula1>
    </dataValidation>
  </dataValidation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twork"/>
  <dimension ref="A1:Q14"/>
  <sheetViews>
    <sheetView workbookViewId="0">
      <selection activeCell="B10" sqref="B10"/>
    </sheetView>
  </sheetViews>
  <sheetFormatPr defaultRowHeight="15" x14ac:dyDescent="0.25"/>
  <cols>
    <col min="1" max="1" width="7.28515625" customWidth="1"/>
    <col min="2" max="2" width="50.140625" customWidth="1"/>
    <col min="3" max="3" width="21.7109375" bestFit="1" customWidth="1"/>
    <col min="5" max="5" width="40.7109375" customWidth="1"/>
    <col min="6" max="6" width="59.140625" customWidth="1"/>
    <col min="7" max="7" width="9.7109375" customWidth="1"/>
    <col min="8" max="8" width="23.85546875" customWidth="1"/>
    <col min="10" max="10" width="17.5703125" customWidth="1"/>
    <col min="12" max="12" width="13.28515625" customWidth="1"/>
    <col min="13" max="13" width="14.42578125" customWidth="1"/>
    <col min="14" max="14" width="13.5703125" customWidth="1"/>
    <col min="15" max="15" width="17" customWidth="1"/>
    <col min="16" max="16" width="11.85546875" customWidth="1"/>
    <col min="17" max="17" width="13.85546875" customWidth="1"/>
    <col min="18" max="18" width="15.42578125" customWidth="1"/>
    <col min="19" max="19" width="15.85546875" customWidth="1"/>
    <col min="20" max="20" width="10.140625" customWidth="1"/>
  </cols>
  <sheetData>
    <row r="1" spans="1:17" x14ac:dyDescent="0.25">
      <c r="A1" s="36"/>
      <c r="B1" s="36"/>
      <c r="C1" s="36"/>
      <c r="D1" s="36"/>
      <c r="E1" s="36"/>
      <c r="F1" s="36"/>
      <c r="G1" s="36"/>
      <c r="H1" s="36"/>
      <c r="I1" s="36"/>
      <c r="J1" s="36"/>
      <c r="K1" s="36"/>
      <c r="L1" s="36"/>
      <c r="M1" s="36"/>
      <c r="N1" s="36"/>
      <c r="O1" s="36"/>
      <c r="P1" s="36"/>
      <c r="Q1" s="37"/>
    </row>
    <row r="2" spans="1:17" ht="30" x14ac:dyDescent="0.25">
      <c r="A2" s="55" t="s">
        <v>120</v>
      </c>
      <c r="B2" s="52" t="s">
        <v>118</v>
      </c>
      <c r="C2" s="53" t="s">
        <v>121</v>
      </c>
      <c r="D2" s="53" t="s">
        <v>99</v>
      </c>
      <c r="E2" s="53" t="s">
        <v>100</v>
      </c>
      <c r="F2" s="53" t="s">
        <v>9</v>
      </c>
      <c r="G2" s="53" t="s">
        <v>101</v>
      </c>
      <c r="H2" s="53" t="s">
        <v>102</v>
      </c>
      <c r="I2" s="53" t="s">
        <v>103</v>
      </c>
      <c r="J2" s="53" t="s">
        <v>104</v>
      </c>
      <c r="K2" s="53" t="s">
        <v>105</v>
      </c>
      <c r="L2" s="53" t="s">
        <v>106</v>
      </c>
      <c r="M2" s="53" t="s">
        <v>107</v>
      </c>
      <c r="N2" s="53" t="s">
        <v>108</v>
      </c>
      <c r="O2" s="53" t="s">
        <v>109</v>
      </c>
      <c r="P2" s="53" t="s">
        <v>47</v>
      </c>
      <c r="Q2" s="54" t="s">
        <v>48</v>
      </c>
    </row>
    <row r="3" spans="1:17" x14ac:dyDescent="0.25">
      <c r="A3" s="78">
        <v>726</v>
      </c>
      <c r="B3" t="str">
        <f>IFERROR(INDEX([1]!tMaster[Name],MATCH(A3, [1]!tMaster[Master ID],0)),"&lt;&lt;&lt; Add the Person's Master ID")</f>
        <v>&lt;&lt;&lt; Add the Person's Master ID</v>
      </c>
      <c r="C3" t="s">
        <v>49</v>
      </c>
      <c r="D3">
        <v>13</v>
      </c>
      <c r="E3" t="s">
        <v>52</v>
      </c>
      <c r="F3" t="s">
        <v>53</v>
      </c>
      <c r="G3" t="s">
        <v>54</v>
      </c>
      <c r="H3" t="s">
        <v>55</v>
      </c>
      <c r="I3" t="s">
        <v>110</v>
      </c>
      <c r="J3" t="s">
        <v>56</v>
      </c>
      <c r="L3">
        <v>1813</v>
      </c>
      <c r="M3" t="s">
        <v>57</v>
      </c>
    </row>
    <row r="4" spans="1:17" x14ac:dyDescent="0.25">
      <c r="A4" s="78">
        <v>726</v>
      </c>
      <c r="B4" t="str">
        <f>IFERROR(INDEX([1]!tMaster[Name],MATCH(A4, [1]!tMaster[Master ID],0)),"&lt;&lt;&lt; Add the Person's Master ID")</f>
        <v>&lt;&lt;&lt; Add the Person's Master ID</v>
      </c>
      <c r="C4" t="s">
        <v>49</v>
      </c>
      <c r="D4">
        <v>14</v>
      </c>
      <c r="E4" t="s">
        <v>52</v>
      </c>
      <c r="F4" t="s">
        <v>53</v>
      </c>
      <c r="G4" t="s">
        <v>54</v>
      </c>
      <c r="H4" t="s">
        <v>58</v>
      </c>
      <c r="I4" t="s">
        <v>111</v>
      </c>
      <c r="J4" t="s">
        <v>51</v>
      </c>
      <c r="L4">
        <v>1851</v>
      </c>
      <c r="M4" t="s">
        <v>50</v>
      </c>
    </row>
    <row r="5" spans="1:17" x14ac:dyDescent="0.25">
      <c r="A5" s="78">
        <v>726</v>
      </c>
      <c r="B5" t="str">
        <f>IFERROR(INDEX([1]!tMaster[Name],MATCH(A5, [1]!tMaster[Master ID],0)),"&lt;&lt;&lt; Add the Person's Master ID")</f>
        <v>&lt;&lt;&lt; Add the Person's Master ID</v>
      </c>
      <c r="C5" t="s">
        <v>59</v>
      </c>
      <c r="D5">
        <v>40</v>
      </c>
      <c r="E5" t="s">
        <v>60</v>
      </c>
      <c r="F5" t="s">
        <v>61</v>
      </c>
      <c r="G5" t="s">
        <v>62</v>
      </c>
      <c r="H5" t="s">
        <v>63</v>
      </c>
      <c r="I5" t="s">
        <v>64</v>
      </c>
      <c r="J5" t="s">
        <v>65</v>
      </c>
      <c r="L5">
        <v>1889</v>
      </c>
    </row>
    <row r="6" spans="1:17" x14ac:dyDescent="0.25">
      <c r="A6" s="78">
        <v>726</v>
      </c>
      <c r="B6" t="str">
        <f>IFERROR(INDEX([1]!tMaster[Name],MATCH(A6, [1]!tMaster[Master ID],0)),"&lt;&lt;&lt; Add the Person's Master ID")</f>
        <v>&lt;&lt;&lt; Add the Person's Master ID</v>
      </c>
      <c r="C6" t="s">
        <v>67</v>
      </c>
      <c r="D6">
        <v>79</v>
      </c>
      <c r="E6" t="s">
        <v>68</v>
      </c>
      <c r="F6" t="s">
        <v>69</v>
      </c>
      <c r="G6" t="s">
        <v>70</v>
      </c>
      <c r="H6" t="s">
        <v>71</v>
      </c>
      <c r="I6" t="s">
        <v>72</v>
      </c>
      <c r="J6" t="s">
        <v>73</v>
      </c>
      <c r="L6">
        <v>1925</v>
      </c>
    </row>
    <row r="7" spans="1:17" x14ac:dyDescent="0.25">
      <c r="A7" s="78">
        <v>726</v>
      </c>
      <c r="B7" t="str">
        <f>IFERROR(INDEX([1]!tMaster[Name],MATCH(A7, [1]!tMaster[Master ID],0)),"&lt;&lt;&lt; Add the Person's Master ID")</f>
        <v>&lt;&lt;&lt; Add the Person's Master ID</v>
      </c>
      <c r="C7" t="s">
        <v>67</v>
      </c>
      <c r="D7">
        <v>80</v>
      </c>
      <c r="E7" t="s">
        <v>74</v>
      </c>
      <c r="F7" t="s">
        <v>75</v>
      </c>
      <c r="G7" t="s">
        <v>76</v>
      </c>
      <c r="H7" t="s">
        <v>77</v>
      </c>
      <c r="I7" t="s">
        <v>78</v>
      </c>
      <c r="J7" t="s">
        <v>79</v>
      </c>
      <c r="L7">
        <v>1930</v>
      </c>
    </row>
    <row r="8" spans="1:17" x14ac:dyDescent="0.25">
      <c r="A8" s="78">
        <v>726</v>
      </c>
      <c r="B8" t="str">
        <f>IFERROR(INDEX([1]!tMaster[Name],MATCH(A8, [1]!tMaster[Master ID],0)),"&lt;&lt;&lt; Add the Person's Master ID")</f>
        <v>&lt;&lt;&lt; Add the Person's Master ID</v>
      </c>
      <c r="C8" t="s">
        <v>67</v>
      </c>
      <c r="D8">
        <v>81</v>
      </c>
      <c r="E8" t="s">
        <v>80</v>
      </c>
      <c r="F8" t="s">
        <v>81</v>
      </c>
      <c r="G8" t="s">
        <v>82</v>
      </c>
      <c r="H8" t="s">
        <v>83</v>
      </c>
      <c r="I8" t="s">
        <v>84</v>
      </c>
      <c r="J8" t="s">
        <v>79</v>
      </c>
      <c r="L8">
        <v>1930</v>
      </c>
    </row>
    <row r="9" spans="1:17" x14ac:dyDescent="0.25">
      <c r="A9" s="78">
        <v>726</v>
      </c>
      <c r="B9" t="str">
        <f>IFERROR(INDEX([1]!tMaster[Name],MATCH(A9, [1]!tMaster[Master ID],0)),"&lt;&lt;&lt; Add the Person's Master ID")</f>
        <v>&lt;&lt;&lt; Add the Person's Master ID</v>
      </c>
      <c r="C9" t="s">
        <v>67</v>
      </c>
      <c r="D9">
        <v>82</v>
      </c>
      <c r="E9" t="s">
        <v>80</v>
      </c>
      <c r="F9" t="s">
        <v>81</v>
      </c>
      <c r="G9" t="s">
        <v>82</v>
      </c>
      <c r="H9" t="s">
        <v>85</v>
      </c>
      <c r="I9" t="s">
        <v>84</v>
      </c>
      <c r="J9" t="s">
        <v>79</v>
      </c>
      <c r="L9">
        <v>1930</v>
      </c>
    </row>
    <row r="10" spans="1:17" x14ac:dyDescent="0.25">
      <c r="A10" s="78">
        <v>726</v>
      </c>
      <c r="B10" t="str">
        <f>IFERROR(INDEX([1]!tMaster[Name],MATCH(A10, [1]!tMaster[Master ID],0)),"&lt;&lt;&lt; Add the Person's Master ID")</f>
        <v>&lt;&lt;&lt; Add the Person's Master ID</v>
      </c>
      <c r="C10" t="s">
        <v>67</v>
      </c>
      <c r="D10">
        <v>83</v>
      </c>
      <c r="E10" t="s">
        <v>86</v>
      </c>
      <c r="F10" t="s">
        <v>87</v>
      </c>
      <c r="G10" t="s">
        <v>88</v>
      </c>
      <c r="H10" t="s">
        <v>89</v>
      </c>
      <c r="I10" t="s">
        <v>90</v>
      </c>
      <c r="J10" t="s">
        <v>91</v>
      </c>
      <c r="L10">
        <v>1998</v>
      </c>
    </row>
    <row r="11" spans="1:17" x14ac:dyDescent="0.25">
      <c r="A11" s="78">
        <v>726</v>
      </c>
      <c r="B11" t="str">
        <f>IFERROR(INDEX([1]!tMaster[Name],MATCH(A11, [1]!tMaster[Master ID],0)),"&lt;&lt;&lt; Add the Person's Master ID")</f>
        <v>&lt;&lt;&lt; Add the Person's Master ID</v>
      </c>
      <c r="C11" t="s">
        <v>66</v>
      </c>
      <c r="D11">
        <v>84</v>
      </c>
      <c r="E11" t="s">
        <v>92</v>
      </c>
      <c r="F11" t="s">
        <v>93</v>
      </c>
      <c r="G11" t="s">
        <v>94</v>
      </c>
      <c r="H11" t="s">
        <v>95</v>
      </c>
      <c r="I11" t="s">
        <v>96</v>
      </c>
      <c r="J11" t="s">
        <v>97</v>
      </c>
      <c r="L11">
        <v>1930</v>
      </c>
      <c r="Q11" s="35" t="s">
        <v>98</v>
      </c>
    </row>
    <row r="12" spans="1:17" x14ac:dyDescent="0.25">
      <c r="A12" s="78">
        <v>832</v>
      </c>
      <c r="B12" t="str">
        <f>IFERROR(INDEX([1]!tMaster[Name],MATCH(A12, [1]!tMaster[Master ID],0)),"&lt;&lt;&lt; Add the Person's Master ID")</f>
        <v>&lt;&lt;&lt; Add the Person's Master ID</v>
      </c>
      <c r="C12" t="s">
        <v>59</v>
      </c>
      <c r="D12">
        <v>47</v>
      </c>
      <c r="E12" t="s">
        <v>133</v>
      </c>
      <c r="F12" t="s">
        <v>134</v>
      </c>
      <c r="J12" t="s">
        <v>135</v>
      </c>
      <c r="K12" t="s">
        <v>136</v>
      </c>
      <c r="L12">
        <v>1857</v>
      </c>
    </row>
    <row r="13" spans="1:17" x14ac:dyDescent="0.25">
      <c r="A13" s="78">
        <v>75</v>
      </c>
      <c r="B13" s="77" t="str">
        <f>IFERROR(INDEX([1]!tMaster[Name],MATCH(A13, [1]!tMaster[Master ID],0)),"&lt;&lt;&lt; Add the Person's Master ID")</f>
        <v>&lt;&lt;&lt; Add the Person's Master ID</v>
      </c>
      <c r="C13" s="57" t="s">
        <v>67</v>
      </c>
      <c r="D13" s="57">
        <v>58</v>
      </c>
      <c r="E13" s="57" t="s">
        <v>137</v>
      </c>
      <c r="F13" s="57" t="s">
        <v>138</v>
      </c>
      <c r="G13" s="57" t="s">
        <v>139</v>
      </c>
      <c r="H13" s="57" t="s">
        <v>140</v>
      </c>
      <c r="I13" s="57" t="s">
        <v>141</v>
      </c>
      <c r="J13" s="57" t="s">
        <v>141</v>
      </c>
      <c r="K13" s="57"/>
      <c r="L13" s="57"/>
      <c r="M13" s="57"/>
      <c r="N13" s="57"/>
      <c r="O13" s="57" t="s">
        <v>142</v>
      </c>
      <c r="P13" s="57" t="s">
        <v>143</v>
      </c>
      <c r="Q13" s="57"/>
    </row>
    <row r="14" spans="1:17" x14ac:dyDescent="0.25">
      <c r="A14" s="78">
        <v>75</v>
      </c>
      <c r="B14" s="79" t="str">
        <f>IFERROR(INDEX([1]!tMaster[Name],MATCH(A14, [1]!tMaster[Master ID],0)),"&lt;&lt;&lt; Add the Person's Master ID")</f>
        <v>&lt;&lt;&lt; Add the Person's Master ID</v>
      </c>
      <c r="C14" s="80" t="s">
        <v>49</v>
      </c>
      <c r="D14" s="80">
        <v>16</v>
      </c>
      <c r="E14" s="80" t="s">
        <v>144</v>
      </c>
      <c r="F14" s="80" t="s">
        <v>145</v>
      </c>
      <c r="G14" s="80" t="s">
        <v>146</v>
      </c>
      <c r="H14" s="80" t="s">
        <v>147</v>
      </c>
      <c r="I14" s="80" t="s">
        <v>148</v>
      </c>
      <c r="J14" s="80" t="s">
        <v>148</v>
      </c>
      <c r="K14" s="80" t="s">
        <v>149</v>
      </c>
      <c r="L14" s="80">
        <v>1855</v>
      </c>
      <c r="M14" s="80"/>
      <c r="N14" s="80"/>
      <c r="O14" s="80" t="s">
        <v>142</v>
      </c>
      <c r="P14" s="80" t="s">
        <v>143</v>
      </c>
      <c r="Q14" s="80"/>
    </row>
  </sheetData>
  <dataValidations count="1">
    <dataValidation type="list" allowBlank="1" showInputMessage="1" showErrorMessage="1" sqref="A3:A14" xr:uid="{C6F019F8-CC56-4974-9B0B-B675A1B97CD2}">
      <formula1>INDIRECT("tMaster[Master ID]")</formula1>
    </dataValidation>
  </dataValidations>
  <pageMargins left="0.7" right="0.7" top="0.75" bottom="0.75" header="0.3" footer="0.3"/>
  <pageSetup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A9E72-34AF-4643-9E3D-8289BBA985DF}">
  <sheetPr codeName="Changes"/>
  <dimension ref="A1:C12"/>
  <sheetViews>
    <sheetView workbookViewId="0">
      <selection activeCell="C12" sqref="C12"/>
    </sheetView>
  </sheetViews>
  <sheetFormatPr defaultRowHeight="15" x14ac:dyDescent="0.25"/>
  <cols>
    <col min="2" max="2" width="92.7109375" bestFit="1" customWidth="1"/>
    <col min="3" max="3" width="73.5703125" bestFit="1" customWidth="1"/>
  </cols>
  <sheetData>
    <row r="1" spans="1:3" x14ac:dyDescent="0.25">
      <c r="A1" s="83" t="s">
        <v>155</v>
      </c>
      <c r="B1" s="83" t="s">
        <v>156</v>
      </c>
      <c r="C1" s="83" t="s">
        <v>158</v>
      </c>
    </row>
    <row r="2" spans="1:3" x14ac:dyDescent="0.25">
      <c r="A2">
        <v>1</v>
      </c>
      <c r="B2" t="s">
        <v>153</v>
      </c>
      <c r="C2" t="s">
        <v>159</v>
      </c>
    </row>
    <row r="3" spans="1:3" x14ac:dyDescent="0.25">
      <c r="A3">
        <v>2</v>
      </c>
      <c r="B3" s="82" t="s">
        <v>154</v>
      </c>
      <c r="C3" t="s">
        <v>160</v>
      </c>
    </row>
    <row r="4" spans="1:3" x14ac:dyDescent="0.25">
      <c r="A4">
        <v>3</v>
      </c>
      <c r="B4" s="82" t="s">
        <v>157</v>
      </c>
      <c r="C4" t="s">
        <v>160</v>
      </c>
    </row>
    <row r="5" spans="1:3" x14ac:dyDescent="0.25">
      <c r="A5">
        <v>4</v>
      </c>
      <c r="B5" t="s">
        <v>173</v>
      </c>
      <c r="C5" t="s">
        <v>172</v>
      </c>
    </row>
    <row r="6" spans="1:3" x14ac:dyDescent="0.25">
      <c r="A6">
        <v>5</v>
      </c>
      <c r="B6" t="s">
        <v>174</v>
      </c>
      <c r="C6" t="s">
        <v>161</v>
      </c>
    </row>
    <row r="7" spans="1:3" x14ac:dyDescent="0.25">
      <c r="A7">
        <v>6</v>
      </c>
      <c r="B7" t="s">
        <v>175</v>
      </c>
      <c r="C7" t="s">
        <v>162</v>
      </c>
    </row>
    <row r="8" spans="1:3" x14ac:dyDescent="0.25">
      <c r="A8">
        <v>7</v>
      </c>
      <c r="B8" t="s">
        <v>169</v>
      </c>
      <c r="C8" t="s">
        <v>165</v>
      </c>
    </row>
    <row r="9" spans="1:3" x14ac:dyDescent="0.25">
      <c r="A9">
        <v>8</v>
      </c>
      <c r="B9" t="s">
        <v>164</v>
      </c>
      <c r="C9" t="s">
        <v>168</v>
      </c>
    </row>
    <row r="10" spans="1:3" x14ac:dyDescent="0.25">
      <c r="A10">
        <v>9</v>
      </c>
      <c r="B10" t="s">
        <v>166</v>
      </c>
      <c r="C10" t="s">
        <v>167</v>
      </c>
    </row>
    <row r="11" spans="1:3" x14ac:dyDescent="0.25">
      <c r="A11">
        <v>10</v>
      </c>
      <c r="B11" t="s">
        <v>171</v>
      </c>
      <c r="C11" t="s">
        <v>170</v>
      </c>
    </row>
    <row r="12" spans="1:3" x14ac:dyDescent="0.25">
      <c r="A12">
        <v>11</v>
      </c>
      <c r="B12" t="s">
        <v>176</v>
      </c>
      <c r="C12" t="s">
        <v>177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CA501F9-EA17-4A70-8019-4E3DAABD53D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Nazwane zakresy</vt:lpstr>
      </vt:variant>
      <vt:variant>
        <vt:i4>1</vt:i4>
      </vt:variant>
    </vt:vector>
  </HeadingPairs>
  <TitlesOfParts>
    <vt:vector size="5" baseType="lpstr">
      <vt:lpstr>Full Profile</vt:lpstr>
      <vt:lpstr>Master List</vt:lpstr>
      <vt:lpstr>Artwork and Sculpture</vt:lpstr>
      <vt:lpstr>changes</vt:lpstr>
      <vt:lpstr>MasterSel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2024-04-18T13:13:31Z</dcterms:created>
  <dcterms:modified xsi:type="dcterms:W3CDTF">2024-04-18T13:13:57Z</dcterms:modified>
</cp:coreProperties>
</file>