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B4A4487C-3EB6-4D4E-8090-1BF69833A9A4}" xr6:coauthVersionLast="37" xr6:coauthVersionMax="37" xr10:uidLastSave="{00000000-0000-0000-0000-000000000000}"/>
  <bookViews>
    <workbookView xWindow="0" yWindow="0" windowWidth="22260" windowHeight="12643" activeTab="3" xr2:uid="{00000000-000D-0000-FFFF-FFFF00000000}"/>
  </bookViews>
  <sheets>
    <sheet name="loads" sheetId="11" r:id="rId1"/>
    <sheet name="left" sheetId="1" r:id="rId2"/>
    <sheet name="right" sheetId="9" r:id="rId3"/>
    <sheet name="rear" sheetId="10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9" l="1"/>
  <c r="O21" i="9"/>
  <c r="M21" i="9"/>
  <c r="O19" i="9"/>
  <c r="N19" i="9"/>
  <c r="M19" i="9"/>
  <c r="O19" i="1"/>
  <c r="N19" i="1"/>
  <c r="M19" i="1"/>
  <c r="C26" i="10"/>
  <c r="C26" i="9"/>
  <c r="C26" i="1"/>
  <c r="B23" i="1"/>
  <c r="D23" i="1"/>
  <c r="D21" i="9"/>
  <c r="D20" i="9"/>
  <c r="D21" i="1"/>
  <c r="D20" i="1"/>
  <c r="D20" i="10"/>
  <c r="D22" i="10" s="1"/>
  <c r="D21" i="10"/>
  <c r="O19" i="10"/>
  <c r="O20" i="10" s="1"/>
  <c r="B15" i="11"/>
  <c r="B25" i="10"/>
  <c r="C25" i="10" s="1"/>
  <c r="B20" i="10"/>
  <c r="B23" i="10" s="1"/>
  <c r="B20" i="9"/>
  <c r="B20" i="1"/>
  <c r="B19" i="10"/>
  <c r="B19" i="9"/>
  <c r="B19" i="1"/>
  <c r="B21" i="10"/>
  <c r="B13" i="10"/>
  <c r="B8" i="10"/>
  <c r="B4" i="10"/>
  <c r="D25" i="10"/>
  <c r="C18" i="10"/>
  <c r="D25" i="9"/>
  <c r="B25" i="9"/>
  <c r="C25" i="9" s="1"/>
  <c r="B21" i="9"/>
  <c r="D18" i="9"/>
  <c r="C18" i="9"/>
  <c r="B13" i="9"/>
  <c r="B8" i="9"/>
  <c r="B4" i="9"/>
  <c r="D25" i="1"/>
  <c r="D18" i="1"/>
  <c r="C18" i="1" s="1"/>
  <c r="B7" i="11" l="1"/>
  <c r="B9" i="11" s="1"/>
  <c r="B10" i="11" s="1"/>
  <c r="D23" i="9"/>
  <c r="B23" i="9"/>
  <c r="D23" i="10"/>
  <c r="M19" i="10"/>
  <c r="M20" i="10" s="1"/>
  <c r="B22" i="10"/>
  <c r="N19" i="10"/>
  <c r="N20" i="10" s="1"/>
  <c r="D22" i="9"/>
  <c r="D22" i="1"/>
  <c r="B9" i="9"/>
  <c r="B10" i="9" s="1"/>
  <c r="B22" i="9"/>
  <c r="B13" i="11"/>
  <c r="B16" i="11" s="1"/>
  <c r="B9" i="10"/>
  <c r="B10" i="10" s="1"/>
  <c r="D19" i="9"/>
  <c r="B2" i="11"/>
  <c r="B4" i="11" s="1"/>
  <c r="B26" i="10"/>
  <c r="H19" i="10" s="1"/>
  <c r="H20" i="10" s="1"/>
  <c r="H21" i="10" s="1"/>
  <c r="B26" i="9"/>
  <c r="K19" i="9" s="1"/>
  <c r="K20" i="9" s="1"/>
  <c r="K21" i="9" s="1"/>
  <c r="D19" i="1"/>
  <c r="D19" i="10"/>
  <c r="B14" i="10"/>
  <c r="D26" i="10"/>
  <c r="H22" i="10"/>
  <c r="B15" i="9"/>
  <c r="B14" i="9"/>
  <c r="D26" i="9"/>
  <c r="D26" i="1"/>
  <c r="N21" i="10" l="1"/>
  <c r="O21" i="10"/>
  <c r="M21" i="10"/>
  <c r="H23" i="10"/>
  <c r="B15" i="10"/>
  <c r="J19" i="9"/>
  <c r="J20" i="9" s="1"/>
  <c r="O20" i="9"/>
  <c r="H19" i="9"/>
  <c r="H20" i="9" s="1"/>
  <c r="H21" i="9" s="1"/>
  <c r="M20" i="9"/>
  <c r="I19" i="9"/>
  <c r="I20" i="9" s="1"/>
  <c r="I21" i="9" s="1"/>
  <c r="N20" i="9"/>
  <c r="J21" i="9"/>
  <c r="I22" i="10"/>
  <c r="I23" i="10" s="1"/>
  <c r="I19" i="10"/>
  <c r="I20" i="10" s="1"/>
  <c r="I21" i="10" s="1"/>
  <c r="K22" i="10"/>
  <c r="K23" i="10" s="1"/>
  <c r="J22" i="10"/>
  <c r="J23" i="10" s="1"/>
  <c r="C14" i="10"/>
  <c r="K19" i="10"/>
  <c r="K20" i="10" s="1"/>
  <c r="K21" i="10" s="1"/>
  <c r="J19" i="10"/>
  <c r="J20" i="10" s="1"/>
  <c r="J21" i="10" s="1"/>
  <c r="C15" i="10"/>
  <c r="N22" i="10"/>
  <c r="N23" i="10" s="1"/>
  <c r="O22" i="10"/>
  <c r="O23" i="10" s="1"/>
  <c r="M22" i="10"/>
  <c r="M23" i="10" s="1"/>
  <c r="K22" i="9"/>
  <c r="K23" i="9" s="1"/>
  <c r="C14" i="9"/>
  <c r="C15" i="9"/>
  <c r="B21" i="1"/>
  <c r="H26" i="10" l="1"/>
  <c r="H27" i="10" s="1"/>
  <c r="H24" i="10"/>
  <c r="K26" i="9"/>
  <c r="K27" i="9" s="1"/>
  <c r="K24" i="9"/>
  <c r="H22" i="9"/>
  <c r="H23" i="9" s="1"/>
  <c r="M22" i="9"/>
  <c r="M23" i="9" s="1"/>
  <c r="I22" i="9"/>
  <c r="I23" i="9" s="1"/>
  <c r="N22" i="9"/>
  <c r="N23" i="9" s="1"/>
  <c r="J22" i="9"/>
  <c r="J23" i="9" s="1"/>
  <c r="O22" i="9"/>
  <c r="O23" i="9" s="1"/>
  <c r="I26" i="10"/>
  <c r="I27" i="10" s="1"/>
  <c r="I24" i="10"/>
  <c r="J24" i="10"/>
  <c r="J26" i="10"/>
  <c r="J27" i="10" s="1"/>
  <c r="K24" i="10"/>
  <c r="K26" i="10"/>
  <c r="K27" i="10" s="1"/>
  <c r="M24" i="10"/>
  <c r="M26" i="10"/>
  <c r="M27" i="10" s="1"/>
  <c r="N26" i="10"/>
  <c r="N27" i="10" s="1"/>
  <c r="N24" i="10"/>
  <c r="O24" i="10"/>
  <c r="O26" i="10"/>
  <c r="O27" i="10" s="1"/>
  <c r="B22" i="1"/>
  <c r="M24" i="9" l="1"/>
  <c r="M26" i="9"/>
  <c r="M27" i="9" s="1"/>
  <c r="N24" i="9"/>
  <c r="N26" i="9"/>
  <c r="N27" i="9" s="1"/>
  <c r="I26" i="9"/>
  <c r="I27" i="9" s="1"/>
  <c r="I24" i="9"/>
  <c r="O24" i="9"/>
  <c r="O26" i="9"/>
  <c r="O27" i="9" s="1"/>
  <c r="J24" i="9"/>
  <c r="J26" i="9"/>
  <c r="J27" i="9" s="1"/>
  <c r="H24" i="9"/>
  <c r="H26" i="9"/>
  <c r="H27" i="9" s="1"/>
  <c r="B25" i="1" l="1"/>
  <c r="C25" i="1" s="1"/>
  <c r="K22" i="1" s="1"/>
  <c r="B13" i="1"/>
  <c r="B8" i="1"/>
  <c r="B4" i="1"/>
  <c r="O22" i="1" l="1"/>
  <c r="J22" i="1"/>
  <c r="N22" i="1"/>
  <c r="I22" i="1"/>
  <c r="M22" i="1"/>
  <c r="H22" i="1"/>
  <c r="B9" i="1"/>
  <c r="B10" i="1" s="1"/>
  <c r="B15" i="1" s="1"/>
  <c r="B26" i="1"/>
  <c r="K19" i="1" s="1"/>
  <c r="K20" i="1" s="1"/>
  <c r="K21" i="1" l="1"/>
  <c r="O20" i="1"/>
  <c r="O21" i="1" s="1"/>
  <c r="J19" i="1"/>
  <c r="J20" i="1" s="1"/>
  <c r="J21" i="1" s="1"/>
  <c r="N20" i="1"/>
  <c r="N21" i="1" s="1"/>
  <c r="I19" i="1"/>
  <c r="I20" i="1" s="1"/>
  <c r="I21" i="1" s="1"/>
  <c r="M20" i="1"/>
  <c r="M21" i="1" s="1"/>
  <c r="H19" i="1"/>
  <c r="H20" i="1" s="1"/>
  <c r="H21" i="1" s="1"/>
  <c r="B14" i="1"/>
  <c r="C15" i="1"/>
  <c r="J23" i="1" l="1"/>
  <c r="J24" i="1" s="1"/>
  <c r="K23" i="1"/>
  <c r="I23" i="1"/>
  <c r="N23" i="1"/>
  <c r="J26" i="1"/>
  <c r="J27" i="1" s="1"/>
  <c r="O23" i="1"/>
  <c r="H23" i="1"/>
  <c r="M23" i="1"/>
  <c r="C14" i="1"/>
  <c r="K24" i="1" l="1"/>
  <c r="K26" i="1"/>
  <c r="K27" i="1" s="1"/>
  <c r="H26" i="1"/>
  <c r="H27" i="1" s="1"/>
  <c r="H24" i="1"/>
  <c r="M26" i="1"/>
  <c r="M27" i="1" s="1"/>
  <c r="M24" i="1"/>
  <c r="O26" i="1"/>
  <c r="O27" i="1" s="1"/>
  <c r="O24" i="1"/>
  <c r="N24" i="1"/>
  <c r="N26" i="1"/>
  <c r="N27" i="1" s="1"/>
  <c r="I26" i="1"/>
  <c r="I27" i="1" s="1"/>
  <c r="I24" i="1"/>
</calcChain>
</file>

<file path=xl/sharedStrings.xml><?xml version="1.0" encoding="utf-8"?>
<sst xmlns="http://schemas.openxmlformats.org/spreadsheetml/2006/main" count="143" uniqueCount="63">
  <si>
    <t>Shock</t>
  </si>
  <si>
    <t>stock clearance</t>
  </si>
  <si>
    <t>target clearance</t>
  </si>
  <si>
    <t>shock unladen</t>
  </si>
  <si>
    <t>pivot to mount</t>
  </si>
  <si>
    <t>pivot to balljoint</t>
  </si>
  <si>
    <t>shock motion ratio</t>
  </si>
  <si>
    <t>target shock unladen</t>
  </si>
  <si>
    <t>Springs</t>
  </si>
  <si>
    <t>corner weight</t>
  </si>
  <si>
    <t>new shock collapsed</t>
  </si>
  <si>
    <t>new shock extended</t>
  </si>
  <si>
    <t>shock stroke</t>
  </si>
  <si>
    <t>shock compression</t>
  </si>
  <si>
    <t>shock rebound</t>
  </si>
  <si>
    <t>spring angle</t>
  </si>
  <si>
    <t>spring motion ratio</t>
  </si>
  <si>
    <t>sprung weight</t>
  </si>
  <si>
    <t>unsprung weight</t>
  </si>
  <si>
    <t>static load</t>
  </si>
  <si>
    <t>12B0185UHT</t>
  </si>
  <si>
    <t>12B0200UHT</t>
  </si>
  <si>
    <t>rate (lb/in)</t>
  </si>
  <si>
    <t>compression load available (lbm)</t>
  </si>
  <si>
    <t>compress shock</t>
  </si>
  <si>
    <t>compression unladen zero preload</t>
  </si>
  <si>
    <t>14B0175UHT</t>
  </si>
  <si>
    <t>14B0185UHT</t>
  </si>
  <si>
    <t>wheel bump load available (lbm)</t>
  </si>
  <si>
    <t>12B0175/350</t>
  </si>
  <si>
    <t>12B0200/425</t>
  </si>
  <si>
    <t>12B0230/700</t>
  </si>
  <si>
    <t>14B0175/350</t>
  </si>
  <si>
    <t>14B0200/425</t>
  </si>
  <si>
    <t>14B0230/700</t>
  </si>
  <si>
    <t>coilover weight</t>
  </si>
  <si>
    <t>wheel and suspension</t>
  </si>
  <si>
    <t>total unsprung weight</t>
  </si>
  <si>
    <t>12B0212UHT</t>
  </si>
  <si>
    <t>12B0225UHT</t>
  </si>
  <si>
    <t>Unladen</t>
  </si>
  <si>
    <t>passengers</t>
  </si>
  <si>
    <t>shock length unladen zero preload (in)</t>
  </si>
  <si>
    <t>preload to unladen ride height (in)</t>
  </si>
  <si>
    <t>compression passenger (in)</t>
  </si>
  <si>
    <t>shock compression remaining (in)</t>
  </si>
  <si>
    <t>total weight</t>
  </si>
  <si>
    <t>braking</t>
  </si>
  <si>
    <t>lateral</t>
  </si>
  <si>
    <t>front weight</t>
  </si>
  <si>
    <t>lateral grip</t>
  </si>
  <si>
    <t>effective weight</t>
  </si>
  <si>
    <t>laden weight</t>
  </si>
  <si>
    <t>decel grip</t>
  </si>
  <si>
    <t>effetive weight</t>
  </si>
  <si>
    <t>per wheel</t>
  </si>
  <si>
    <t>body drops</t>
  </si>
  <si>
    <t>14B0200UHT</t>
  </si>
  <si>
    <t>14B0212UHT</t>
  </si>
  <si>
    <t>accelerating</t>
  </si>
  <si>
    <t>decel g's</t>
  </si>
  <si>
    <t>0-60 time</t>
  </si>
  <si>
    <t>shock compression remaining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</si>
</sst>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9" fontId="1" fillId="0" borderId="0" xfId="0" applyNumberFormat="1" applyFont="1"/>
    <xf numFmtId="9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 applyFont="1"/>
    <xf numFmtId="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D646-06D8-4212-8241-42171E0ED8EB}">
  <dimension ref="A1:B16"/>
  <sheetViews>
    <sheetView workbookViewId="0">
      <selection activeCell="B10" sqref="B10"/>
    </sheetView>
  </sheetViews>
  <sheetFormatPr defaultRowHeight="14.6" x14ac:dyDescent="0.4"/>
  <sheetData>
    <row r="1" spans="1:2" x14ac:dyDescent="0.4">
      <c r="A1" s="1" t="s">
        <v>48</v>
      </c>
    </row>
    <row r="2" spans="1:2" x14ac:dyDescent="0.4">
      <c r="A2" t="s">
        <v>49</v>
      </c>
      <c r="B2">
        <f>left!D18+right!D18</f>
        <v>1250</v>
      </c>
    </row>
    <row r="3" spans="1:2" x14ac:dyDescent="0.4">
      <c r="A3" t="s">
        <v>50</v>
      </c>
      <c r="B3">
        <v>1.02</v>
      </c>
    </row>
    <row r="4" spans="1:2" x14ac:dyDescent="0.4">
      <c r="A4" t="s">
        <v>51</v>
      </c>
      <c r="B4">
        <f>B2*B3</f>
        <v>1275</v>
      </c>
    </row>
    <row r="6" spans="1:2" x14ac:dyDescent="0.4">
      <c r="A6" s="1" t="s">
        <v>47</v>
      </c>
    </row>
    <row r="7" spans="1:2" x14ac:dyDescent="0.4">
      <c r="A7" t="s">
        <v>52</v>
      </c>
      <c r="B7">
        <f>left!D$18+right!D$18+rear!D$18</f>
        <v>1950</v>
      </c>
    </row>
    <row r="8" spans="1:2" x14ac:dyDescent="0.4">
      <c r="A8" t="s">
        <v>60</v>
      </c>
      <c r="B8">
        <v>1</v>
      </c>
    </row>
    <row r="9" spans="1:2" x14ac:dyDescent="0.4">
      <c r="A9" t="s">
        <v>54</v>
      </c>
      <c r="B9">
        <f>B7*B8</f>
        <v>1950</v>
      </c>
    </row>
    <row r="10" spans="1:2" x14ac:dyDescent="0.4">
      <c r="A10" t="s">
        <v>55</v>
      </c>
      <c r="B10">
        <f>B9/2</f>
        <v>975</v>
      </c>
    </row>
    <row r="12" spans="1:2" x14ac:dyDescent="0.4">
      <c r="A12" s="1" t="s">
        <v>59</v>
      </c>
    </row>
    <row r="13" spans="1:2" x14ac:dyDescent="0.4">
      <c r="A13" t="s">
        <v>52</v>
      </c>
      <c r="B13">
        <f>left!D$18+right!D$18+rear!D$18</f>
        <v>1950</v>
      </c>
    </row>
    <row r="14" spans="1:2" x14ac:dyDescent="0.4">
      <c r="A14" t="s">
        <v>61</v>
      </c>
      <c r="B14">
        <v>5.5</v>
      </c>
    </row>
    <row r="15" spans="1:2" x14ac:dyDescent="0.4">
      <c r="A15" t="s">
        <v>53</v>
      </c>
      <c r="B15" s="6">
        <f>2.73487888320681/B14</f>
        <v>0.49725070603760185</v>
      </c>
    </row>
    <row r="16" spans="1:2" x14ac:dyDescent="0.4">
      <c r="A16" t="s">
        <v>54</v>
      </c>
      <c r="B16" s="7">
        <f>B13*B15</f>
        <v>969.63887677332366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opLeftCell="A4" workbookViewId="0">
      <selection activeCell="G17" sqref="G17"/>
    </sheetView>
  </sheetViews>
  <sheetFormatPr defaultRowHeight="14.6" x14ac:dyDescent="0.4"/>
  <cols>
    <col min="1" max="1" width="16.3828125" style="1" bestFit="1" customWidth="1"/>
    <col min="3" max="3" width="9.23046875" style="4"/>
    <col min="5" max="5" width="9.23046875" style="6"/>
    <col min="7" max="7" width="29.765625" bestFit="1" customWidth="1"/>
    <col min="8" max="8" width="11.4609375" bestFit="1" customWidth="1"/>
    <col min="9" max="9" width="11.53515625" bestFit="1" customWidth="1"/>
    <col min="10" max="10" width="11.4609375" bestFit="1" customWidth="1"/>
    <col min="11" max="11" width="11.4609375" customWidth="1"/>
  </cols>
  <sheetData>
    <row r="1" spans="1:6" s="1" customFormat="1" x14ac:dyDescent="0.4">
      <c r="A1" s="1" t="s">
        <v>0</v>
      </c>
      <c r="C1" s="3"/>
      <c r="E1" s="11"/>
    </row>
    <row r="2" spans="1:6" x14ac:dyDescent="0.4">
      <c r="A2" s="1" t="s">
        <v>1</v>
      </c>
      <c r="B2">
        <v>6</v>
      </c>
    </row>
    <row r="3" spans="1:6" x14ac:dyDescent="0.4">
      <c r="A3" s="1" t="s">
        <v>2</v>
      </c>
      <c r="B3">
        <v>5</v>
      </c>
    </row>
    <row r="4" spans="1:6" x14ac:dyDescent="0.4">
      <c r="A4" s="1" t="s">
        <v>56</v>
      </c>
      <c r="B4">
        <f>B2-B3</f>
        <v>1</v>
      </c>
    </row>
    <row r="5" spans="1:6" x14ac:dyDescent="0.4">
      <c r="A5" s="1" t="s">
        <v>3</v>
      </c>
      <c r="B5">
        <v>15.5</v>
      </c>
    </row>
    <row r="6" spans="1:6" x14ac:dyDescent="0.4">
      <c r="A6" s="1" t="s">
        <v>4</v>
      </c>
      <c r="B6">
        <v>13.5</v>
      </c>
    </row>
    <row r="7" spans="1:6" x14ac:dyDescent="0.4">
      <c r="A7" s="1" t="s">
        <v>5</v>
      </c>
      <c r="B7">
        <v>16</v>
      </c>
    </row>
    <row r="8" spans="1:6" x14ac:dyDescent="0.4">
      <c r="A8" s="1" t="s">
        <v>6</v>
      </c>
      <c r="B8">
        <f>B6/B7</f>
        <v>0.84375</v>
      </c>
    </row>
    <row r="9" spans="1:6" x14ac:dyDescent="0.4">
      <c r="A9" s="1" t="s">
        <v>24</v>
      </c>
      <c r="B9">
        <f>B4*B8</f>
        <v>0.84375</v>
      </c>
    </row>
    <row r="10" spans="1:6" x14ac:dyDescent="0.4">
      <c r="A10" s="1" t="s">
        <v>7</v>
      </c>
      <c r="B10">
        <f>B5-B9</f>
        <v>14.65625</v>
      </c>
    </row>
    <row r="11" spans="1:6" x14ac:dyDescent="0.4">
      <c r="A11" s="1" t="s">
        <v>10</v>
      </c>
      <c r="B11">
        <v>11</v>
      </c>
    </row>
    <row r="12" spans="1:6" x14ac:dyDescent="0.4">
      <c r="A12" s="1" t="s">
        <v>11</v>
      </c>
      <c r="B12">
        <v>15.87</v>
      </c>
    </row>
    <row r="13" spans="1:6" x14ac:dyDescent="0.4">
      <c r="A13" s="1" t="s">
        <v>12</v>
      </c>
      <c r="B13">
        <f>B12-B11</f>
        <v>4.8699999999999992</v>
      </c>
      <c r="C13" s="9" t="s">
        <v>40</v>
      </c>
      <c r="D13" s="10"/>
      <c r="E13" s="12"/>
      <c r="F13" s="10"/>
    </row>
    <row r="14" spans="1:6" x14ac:dyDescent="0.4">
      <c r="A14" s="1" t="s">
        <v>13</v>
      </c>
      <c r="B14">
        <f>B10-B11</f>
        <v>3.65625</v>
      </c>
      <c r="C14" s="4">
        <f>B14/B13</f>
        <v>0.75077002053388098</v>
      </c>
      <c r="D14" s="4"/>
      <c r="F14" s="4"/>
    </row>
    <row r="15" spans="1:6" x14ac:dyDescent="0.4">
      <c r="A15" s="1" t="s">
        <v>14</v>
      </c>
      <c r="B15">
        <f>B12-B10</f>
        <v>1.2137499999999992</v>
      </c>
      <c r="C15" s="4">
        <f>B15/B13</f>
        <v>0.24922997946611897</v>
      </c>
      <c r="D15" s="4"/>
      <c r="F15" s="4"/>
    </row>
    <row r="17" spans="1:15" x14ac:dyDescent="0.4">
      <c r="A17" s="1" t="s">
        <v>8</v>
      </c>
      <c r="C17" s="3" t="s">
        <v>41</v>
      </c>
      <c r="G17" s="1"/>
      <c r="H17" s="2" t="s">
        <v>20</v>
      </c>
      <c r="I17" s="2" t="s">
        <v>21</v>
      </c>
      <c r="J17" s="2" t="s">
        <v>38</v>
      </c>
      <c r="K17" s="2" t="s">
        <v>39</v>
      </c>
      <c r="M17" t="s">
        <v>29</v>
      </c>
      <c r="N17" t="s">
        <v>30</v>
      </c>
      <c r="O17" t="s">
        <v>31</v>
      </c>
    </row>
    <row r="18" spans="1:15" x14ac:dyDescent="0.4">
      <c r="A18" s="1" t="s">
        <v>9</v>
      </c>
      <c r="B18">
        <v>571.5</v>
      </c>
      <c r="C18" s="7">
        <f>D18-B18</f>
        <v>53.5</v>
      </c>
      <c r="D18">
        <f>1250/2</f>
        <v>625</v>
      </c>
      <c r="G18" s="1" t="s">
        <v>22</v>
      </c>
      <c r="H18">
        <v>185</v>
      </c>
      <c r="I18">
        <v>200</v>
      </c>
      <c r="J18">
        <v>212</v>
      </c>
      <c r="K18">
        <v>225</v>
      </c>
      <c r="M18">
        <v>350</v>
      </c>
      <c r="N18">
        <v>425</v>
      </c>
      <c r="O18">
        <v>700</v>
      </c>
    </row>
    <row r="19" spans="1:15" x14ac:dyDescent="0.4">
      <c r="A19" s="1" t="s">
        <v>46</v>
      </c>
      <c r="B19">
        <f>B18+right!B18+rear!B18</f>
        <v>1741.5</v>
      </c>
      <c r="D19">
        <f>D18+right!D18+rear!D18</f>
        <v>1950</v>
      </c>
      <c r="G19" s="1" t="s">
        <v>25</v>
      </c>
      <c r="H19" s="6">
        <f>$B$26/H18</f>
        <v>4.0135723021229435</v>
      </c>
      <c r="I19" s="6">
        <f>$B$26/I18</f>
        <v>3.7125543794637226</v>
      </c>
      <c r="J19" s="6">
        <f>$B$26/J18</f>
        <v>3.5024097919469077</v>
      </c>
      <c r="K19" s="6">
        <f>$B$26/K18</f>
        <v>3.3000483373010865</v>
      </c>
      <c r="M19" s="6">
        <f>3.57+(($B$26-D18)/M18)</f>
        <v>3.9057453596935554</v>
      </c>
      <c r="N19" s="6">
        <f>3.125+(($B$26-D18)/N18)</f>
        <v>3.4014961785711635</v>
      </c>
      <c r="O19" s="6">
        <f>2.72+(($B$26-D18)/O18)</f>
        <v>2.8878726798467782</v>
      </c>
    </row>
    <row r="20" spans="1:15" x14ac:dyDescent="0.4">
      <c r="A20" s="1" t="s">
        <v>35</v>
      </c>
      <c r="B20">
        <f>CONVERT(3055,"g","lbm")</f>
        <v>6.7351221097480094</v>
      </c>
      <c r="C20" s="7"/>
      <c r="D20">
        <f>CONVERT(3055,"g","lbm")</f>
        <v>6.7351221097480094</v>
      </c>
      <c r="G20" s="1" t="s">
        <v>42</v>
      </c>
      <c r="H20" s="6">
        <f>$B$12-H19</f>
        <v>11.856427697877056</v>
      </c>
      <c r="I20" s="6">
        <f>$B$12-I19</f>
        <v>12.157445620536276</v>
      </c>
      <c r="J20" s="6">
        <f>$B$12-J19</f>
        <v>12.367590208053091</v>
      </c>
      <c r="K20" s="6">
        <f>$B$12-K19</f>
        <v>12.569951662698912</v>
      </c>
      <c r="M20" s="6">
        <f t="shared" ref="M20:O20" si="0">$B$12-M19</f>
        <v>11.964254640306443</v>
      </c>
      <c r="N20" s="6">
        <f t="shared" si="0"/>
        <v>12.468503821428836</v>
      </c>
      <c r="O20" s="6">
        <f t="shared" si="0"/>
        <v>12.982127320153221</v>
      </c>
    </row>
    <row r="21" spans="1:15" x14ac:dyDescent="0.4">
      <c r="A21" s="1" t="s">
        <v>36</v>
      </c>
      <c r="B21">
        <f>CONVERT(27.8,"kg","lbm")</f>
        <v>61.28850888739597</v>
      </c>
      <c r="C21" s="7"/>
      <c r="D21">
        <f>CONVERT(27.8,"kg","lbm")</f>
        <v>61.28850888739597</v>
      </c>
      <c r="G21" s="1" t="s">
        <v>43</v>
      </c>
      <c r="H21" s="6">
        <f>$B$10-H20</f>
        <v>2.7998223021229443</v>
      </c>
      <c r="I21" s="6">
        <f>$B$10-I20</f>
        <v>2.4988043794637242</v>
      </c>
      <c r="J21" s="6">
        <f>$B$10-J20</f>
        <v>2.2886597919469089</v>
      </c>
      <c r="K21" s="6">
        <f>$B$10-K20</f>
        <v>2.0862983373010877</v>
      </c>
      <c r="M21" s="6">
        <f>$B$10-M20</f>
        <v>2.6919953596935571</v>
      </c>
      <c r="N21" s="6">
        <f t="shared" ref="N21:O21" si="1">$B$10-N20</f>
        <v>2.1877461785711638</v>
      </c>
      <c r="O21" s="6">
        <f t="shared" si="1"/>
        <v>1.6741226798467785</v>
      </c>
    </row>
    <row r="22" spans="1:15" x14ac:dyDescent="0.4">
      <c r="A22" s="1" t="s">
        <v>37</v>
      </c>
      <c r="B22">
        <f>(B20/2)+B21</f>
        <v>64.65606994226998</v>
      </c>
      <c r="C22" s="7"/>
      <c r="D22">
        <f>(D20/2)+D21</f>
        <v>64.65606994226998</v>
      </c>
      <c r="G22" s="1" t="s">
        <v>44</v>
      </c>
      <c r="H22" s="6">
        <f>$C$26/H18</f>
        <v>0.42365332882475271</v>
      </c>
      <c r="I22" s="6">
        <f>$C$26/I18</f>
        <v>0.39187932916289625</v>
      </c>
      <c r="J22" s="6">
        <f>$C$26/J18</f>
        <v>0.36969748034235494</v>
      </c>
      <c r="K22" s="6">
        <f>$C$26/K18</f>
        <v>0.34833718147813003</v>
      </c>
      <c r="L22" s="6"/>
      <c r="M22" s="6">
        <f>$C$26/M18</f>
        <v>0.22393104523594071</v>
      </c>
      <c r="N22" s="6">
        <f>$C$26/N18</f>
        <v>0.18441380195901</v>
      </c>
      <c r="O22" s="6">
        <f>$C$26/O18</f>
        <v>0.11196552261797035</v>
      </c>
    </row>
    <row r="23" spans="1:15" x14ac:dyDescent="0.4">
      <c r="A23" s="1" t="s">
        <v>17</v>
      </c>
      <c r="B23">
        <f>B18-(B20/2)-B21</f>
        <v>506.84393005773001</v>
      </c>
      <c r="C23" s="7"/>
      <c r="D23">
        <f>D18-(D20/2)-D21</f>
        <v>560.34393005772995</v>
      </c>
      <c r="G23" s="1" t="s">
        <v>45</v>
      </c>
      <c r="H23" s="6">
        <f>$B$14-H22</f>
        <v>3.2325966711752474</v>
      </c>
      <c r="I23" s="6">
        <f>$B$14-I22</f>
        <v>3.2643706708371036</v>
      </c>
      <c r="J23" s="6">
        <f t="shared" ref="J23:K23" si="2">$B$14-J22</f>
        <v>3.2865525196576453</v>
      </c>
      <c r="K23" s="6">
        <f t="shared" si="2"/>
        <v>3.3079128185218698</v>
      </c>
      <c r="L23" s="6"/>
      <c r="M23" s="6">
        <f>$B$14-M22</f>
        <v>3.4323189547640593</v>
      </c>
      <c r="N23" s="6">
        <f>$B$14-N22</f>
        <v>3.47183619804099</v>
      </c>
      <c r="O23" s="6">
        <f>$B$14-O22</f>
        <v>3.5442844773820297</v>
      </c>
    </row>
    <row r="24" spans="1:15" x14ac:dyDescent="0.4">
      <c r="A24" s="1" t="s">
        <v>15</v>
      </c>
      <c r="B24">
        <v>54</v>
      </c>
      <c r="C24" s="7"/>
      <c r="D24">
        <v>54</v>
      </c>
      <c r="G24" s="1" t="s">
        <v>62</v>
      </c>
      <c r="H24" s="5">
        <f t="shared" ref="H24:O24" si="3">H23/$B$13</f>
        <v>0.66377755054933218</v>
      </c>
      <c r="I24" s="5">
        <f t="shared" si="3"/>
        <v>0.67030198579817335</v>
      </c>
      <c r="J24" s="5">
        <f t="shared" si="3"/>
        <v>0.67485678021717577</v>
      </c>
      <c r="K24" s="5">
        <f t="shared" si="3"/>
        <v>0.67924287854658527</v>
      </c>
      <c r="L24" s="5"/>
      <c r="M24" s="5">
        <f t="shared" si="3"/>
        <v>0.704788286399191</v>
      </c>
      <c r="N24" s="5">
        <f t="shared" si="3"/>
        <v>0.7129027100700186</v>
      </c>
      <c r="O24" s="5">
        <f t="shared" si="3"/>
        <v>0.72777915346653599</v>
      </c>
    </row>
    <row r="25" spans="1:15" x14ac:dyDescent="0.4">
      <c r="A25" s="1" t="s">
        <v>16</v>
      </c>
      <c r="B25">
        <f>(B6/B7)*SIN(RADIANS(B24))</f>
        <v>0.68260808900386194</v>
      </c>
      <c r="C25">
        <f>B25</f>
        <v>0.68260808900386194</v>
      </c>
      <c r="D25">
        <f>(B6/B7)*SIN(RADIANS(D24))</f>
        <v>0.68260808900386194</v>
      </c>
    </row>
    <row r="26" spans="1:15" x14ac:dyDescent="0.4">
      <c r="A26" s="1" t="s">
        <v>19</v>
      </c>
      <c r="B26">
        <f>B23/B25</f>
        <v>742.51087589274448</v>
      </c>
      <c r="C26">
        <f>C18/C25</f>
        <v>78.375865832579251</v>
      </c>
      <c r="D26">
        <f>D23/D25</f>
        <v>820.88674172532365</v>
      </c>
      <c r="G26" s="1" t="s">
        <v>23</v>
      </c>
      <c r="H26" s="8">
        <f>H23*H18</f>
        <v>598.03038416742072</v>
      </c>
      <c r="I26" s="8">
        <f>I23*I18</f>
        <v>652.87413416742072</v>
      </c>
      <c r="J26" s="8">
        <f t="shared" ref="J26:K26" si="4">J23*J18</f>
        <v>696.74913416742083</v>
      </c>
      <c r="K26" s="8">
        <f t="shared" si="4"/>
        <v>744.28038416742072</v>
      </c>
      <c r="L26" s="8"/>
      <c r="M26" s="8">
        <f>M23*M18</f>
        <v>1201.3116341674208</v>
      </c>
      <c r="N26" s="8">
        <f>N23*N18</f>
        <v>1475.5303841674208</v>
      </c>
      <c r="O26" s="8">
        <f>O23*O18</f>
        <v>2480.9991341674208</v>
      </c>
    </row>
    <row r="27" spans="1:15" x14ac:dyDescent="0.4">
      <c r="C27" s="7"/>
      <c r="G27" s="1" t="s">
        <v>28</v>
      </c>
      <c r="H27" s="7">
        <f>H26/$D$25</f>
        <v>876.09624585629149</v>
      </c>
      <c r="I27" s="7">
        <f>I26/$D$25</f>
        <v>956.44066439377775</v>
      </c>
      <c r="J27" s="7">
        <f t="shared" ref="J27:O27" si="5">J26/$D$25</f>
        <v>1020.716199223767</v>
      </c>
      <c r="K27" s="7">
        <f t="shared" si="5"/>
        <v>1090.3480286229217</v>
      </c>
      <c r="L27" s="7"/>
      <c r="M27" s="7">
        <f t="shared" si="5"/>
        <v>1759.8848497686413</v>
      </c>
      <c r="N27" s="7">
        <f t="shared" si="5"/>
        <v>2161.6069424560728</v>
      </c>
      <c r="O27" s="7">
        <f t="shared" si="5"/>
        <v>3634.5879489766553</v>
      </c>
    </row>
    <row r="28" spans="1:15" x14ac:dyDescent="0.4">
      <c r="C28" s="7"/>
    </row>
  </sheetData>
  <conditionalFormatting sqref="M24:O24 H24:K24">
    <cfRule type="cellIs" dxfId="17" priority="1" operator="greaterThan">
      <formula>0.7</formula>
    </cfRule>
    <cfRule type="cellIs" dxfId="16" priority="4" operator="lessThan">
      <formula>0.6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lessThan" id="{C9FE1ABB-B914-4BAB-A42B-8ED6382B548F}">
            <xm:f>loads!$B$10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7" operator="greaterThan" id="{47C466D9-C657-4DE0-9167-7E22AC748A2A}">
            <xm:f>loads!$B$10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M27:O27 H27:K27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71024-2173-4E6E-8B4A-CF1D041757E1}">
  <dimension ref="A1:O28"/>
  <sheetViews>
    <sheetView topLeftCell="A4" workbookViewId="0">
      <selection activeCell="G17" sqref="G17"/>
    </sheetView>
  </sheetViews>
  <sheetFormatPr defaultRowHeight="14.6" x14ac:dyDescent="0.4"/>
  <cols>
    <col min="1" max="1" width="16.3828125" style="1" bestFit="1" customWidth="1"/>
    <col min="3" max="3" width="9.23046875" style="4"/>
    <col min="5" max="5" width="9.23046875" style="6"/>
    <col min="7" max="7" width="29.765625" bestFit="1" customWidth="1"/>
    <col min="8" max="10" width="11.4609375" bestFit="1" customWidth="1"/>
    <col min="11" max="11" width="11.4609375" customWidth="1"/>
  </cols>
  <sheetData>
    <row r="1" spans="1:6" s="1" customFormat="1" x14ac:dyDescent="0.4">
      <c r="A1" s="1" t="s">
        <v>0</v>
      </c>
      <c r="C1" s="3"/>
      <c r="E1" s="11"/>
    </row>
    <row r="2" spans="1:6" x14ac:dyDescent="0.4">
      <c r="A2" s="1" t="s">
        <v>1</v>
      </c>
      <c r="B2">
        <v>6</v>
      </c>
    </row>
    <row r="3" spans="1:6" x14ac:dyDescent="0.4">
      <c r="A3" s="1" t="s">
        <v>2</v>
      </c>
      <c r="B3">
        <v>5</v>
      </c>
    </row>
    <row r="4" spans="1:6" x14ac:dyDescent="0.4">
      <c r="A4" s="1" t="s">
        <v>56</v>
      </c>
      <c r="B4">
        <f>B2-B3</f>
        <v>1</v>
      </c>
    </row>
    <row r="5" spans="1:6" x14ac:dyDescent="0.4">
      <c r="A5" s="1" t="s">
        <v>3</v>
      </c>
      <c r="B5">
        <v>15.5</v>
      </c>
    </row>
    <row r="6" spans="1:6" x14ac:dyDescent="0.4">
      <c r="A6" s="1" t="s">
        <v>4</v>
      </c>
      <c r="B6">
        <v>13.5</v>
      </c>
    </row>
    <row r="7" spans="1:6" x14ac:dyDescent="0.4">
      <c r="A7" s="1" t="s">
        <v>5</v>
      </c>
      <c r="B7">
        <v>16</v>
      </c>
    </row>
    <row r="8" spans="1:6" x14ac:dyDescent="0.4">
      <c r="A8" s="1" t="s">
        <v>6</v>
      </c>
      <c r="B8">
        <f>B6/B7</f>
        <v>0.84375</v>
      </c>
    </row>
    <row r="9" spans="1:6" x14ac:dyDescent="0.4">
      <c r="A9" s="1" t="s">
        <v>24</v>
      </c>
      <c r="B9">
        <f>B4*B8</f>
        <v>0.84375</v>
      </c>
    </row>
    <row r="10" spans="1:6" x14ac:dyDescent="0.4">
      <c r="A10" s="1" t="s">
        <v>7</v>
      </c>
      <c r="B10">
        <f>B5-B9</f>
        <v>14.65625</v>
      </c>
    </row>
    <row r="11" spans="1:6" x14ac:dyDescent="0.4">
      <c r="A11" s="1" t="s">
        <v>10</v>
      </c>
      <c r="B11">
        <v>11</v>
      </c>
    </row>
    <row r="12" spans="1:6" x14ac:dyDescent="0.4">
      <c r="A12" s="1" t="s">
        <v>11</v>
      </c>
      <c r="B12">
        <v>15.87</v>
      </c>
    </row>
    <row r="13" spans="1:6" x14ac:dyDescent="0.4">
      <c r="A13" s="1" t="s">
        <v>12</v>
      </c>
      <c r="B13">
        <f>B12-B11</f>
        <v>4.8699999999999992</v>
      </c>
      <c r="C13" s="9" t="s">
        <v>40</v>
      </c>
      <c r="D13" s="10"/>
      <c r="E13" s="12"/>
      <c r="F13" s="10"/>
    </row>
    <row r="14" spans="1:6" x14ac:dyDescent="0.4">
      <c r="A14" s="1" t="s">
        <v>13</v>
      </c>
      <c r="B14">
        <f>B10-B11</f>
        <v>3.65625</v>
      </c>
      <c r="C14" s="4">
        <f>B14/B13</f>
        <v>0.75077002053388098</v>
      </c>
      <c r="D14" s="4"/>
      <c r="F14" s="4"/>
    </row>
    <row r="15" spans="1:6" x14ac:dyDescent="0.4">
      <c r="A15" s="1" t="s">
        <v>14</v>
      </c>
      <c r="B15">
        <f>B12-B10</f>
        <v>1.2137499999999992</v>
      </c>
      <c r="C15" s="4">
        <f>B15/B13</f>
        <v>0.24922997946611897</v>
      </c>
      <c r="D15" s="4"/>
      <c r="F15" s="4"/>
    </row>
    <row r="17" spans="1:15" x14ac:dyDescent="0.4">
      <c r="A17" s="1" t="s">
        <v>8</v>
      </c>
      <c r="C17" s="3" t="s">
        <v>41</v>
      </c>
      <c r="G17" s="1"/>
      <c r="H17" s="2" t="s">
        <v>20</v>
      </c>
      <c r="I17" s="2" t="s">
        <v>21</v>
      </c>
      <c r="J17" s="2" t="s">
        <v>38</v>
      </c>
      <c r="K17" s="2" t="s">
        <v>39</v>
      </c>
      <c r="M17" t="s">
        <v>29</v>
      </c>
      <c r="N17" t="s">
        <v>30</v>
      </c>
      <c r="O17" t="s">
        <v>31</v>
      </c>
    </row>
    <row r="18" spans="1:15" x14ac:dyDescent="0.4">
      <c r="A18" s="1" t="s">
        <v>9</v>
      </c>
      <c r="B18">
        <v>557.35</v>
      </c>
      <c r="C18" s="7">
        <f>D18-B18</f>
        <v>67.649999999999977</v>
      </c>
      <c r="D18">
        <f>1250/2</f>
        <v>625</v>
      </c>
      <c r="G18" s="1" t="s">
        <v>22</v>
      </c>
      <c r="H18">
        <v>185</v>
      </c>
      <c r="I18">
        <v>200</v>
      </c>
      <c r="J18">
        <v>212</v>
      </c>
      <c r="K18">
        <v>225</v>
      </c>
      <c r="M18">
        <v>350</v>
      </c>
      <c r="N18">
        <v>425</v>
      </c>
      <c r="O18">
        <v>700</v>
      </c>
    </row>
    <row r="19" spans="1:15" x14ac:dyDescent="0.4">
      <c r="A19" s="1" t="s">
        <v>46</v>
      </c>
      <c r="B19">
        <f>B18+left!B18+rear!B18</f>
        <v>1741.5</v>
      </c>
      <c r="D19">
        <f>D18+left!D18+rear!D18</f>
        <v>1950</v>
      </c>
      <c r="G19" s="1" t="s">
        <v>25</v>
      </c>
      <c r="H19" s="6">
        <f>$B$26/H18</f>
        <v>3.9015219357141535</v>
      </c>
      <c r="I19" s="6">
        <f>$B$26/I18</f>
        <v>3.608907790535592</v>
      </c>
      <c r="J19" s="6">
        <f>$B$26/J18</f>
        <v>3.4046299910713129</v>
      </c>
      <c r="K19" s="6">
        <f>$B$26/K18</f>
        <v>3.2079180360316371</v>
      </c>
      <c r="M19" s="6">
        <f>3.57+(($B$26-D18)/M18)</f>
        <v>3.8465187374489096</v>
      </c>
      <c r="N19" s="6">
        <f>3.125+(($B$26-D18)/N18)</f>
        <v>3.3527213131932196</v>
      </c>
      <c r="O19" s="6">
        <f>2.72+(($B$26-D18)/O18)</f>
        <v>2.8582593687244549</v>
      </c>
    </row>
    <row r="20" spans="1:15" x14ac:dyDescent="0.4">
      <c r="A20" s="1" t="s">
        <v>35</v>
      </c>
      <c r="B20">
        <f>CONVERT(3055,"g","lbm")</f>
        <v>6.7351221097480094</v>
      </c>
      <c r="C20" s="7"/>
      <c r="D20">
        <f>CONVERT(3055,"g","lbm")</f>
        <v>6.7351221097480094</v>
      </c>
      <c r="G20" s="1" t="s">
        <v>42</v>
      </c>
      <c r="H20" s="6">
        <f>$B$12-H19</f>
        <v>11.968478064285845</v>
      </c>
      <c r="I20" s="6">
        <f>$B$12-I19</f>
        <v>12.261092209464408</v>
      </c>
      <c r="J20" s="6">
        <f>$B$12-J19</f>
        <v>12.465370008928687</v>
      </c>
      <c r="K20" s="6">
        <f>$B$12-K19</f>
        <v>12.662081963968362</v>
      </c>
      <c r="M20" s="6">
        <f t="shared" ref="M20:O20" si="0">$B$12-M19</f>
        <v>12.023481262551091</v>
      </c>
      <c r="N20" s="6">
        <f t="shared" si="0"/>
        <v>12.51727868680678</v>
      </c>
      <c r="O20" s="6">
        <f t="shared" si="0"/>
        <v>13.011740631275543</v>
      </c>
    </row>
    <row r="21" spans="1:15" x14ac:dyDescent="0.4">
      <c r="A21" s="1" t="s">
        <v>36</v>
      </c>
      <c r="B21">
        <f>CONVERT(27.8,"kg","lbm")</f>
        <v>61.28850888739597</v>
      </c>
      <c r="C21" s="7"/>
      <c r="D21">
        <f>CONVERT(27.8,"kg","lbm")</f>
        <v>61.28850888739597</v>
      </c>
      <c r="G21" s="1" t="s">
        <v>43</v>
      </c>
      <c r="H21" s="6">
        <f>$B$10-H20</f>
        <v>2.6877719357141547</v>
      </c>
      <c r="I21" s="6">
        <f>$B$10-I20</f>
        <v>2.3951577905355919</v>
      </c>
      <c r="J21" s="6">
        <f>$B$10-J20</f>
        <v>2.1908799910713128</v>
      </c>
      <c r="K21" s="6">
        <f>$B$10-K20</f>
        <v>1.9941680360316383</v>
      </c>
      <c r="M21" s="6">
        <f>$B$10-M20</f>
        <v>2.6327687374489095</v>
      </c>
      <c r="N21" s="6">
        <f t="shared" ref="N21:O21" si="1">$B$10-N20</f>
        <v>2.1389713131932204</v>
      </c>
      <c r="O21" s="6">
        <f t="shared" si="1"/>
        <v>1.6445093687244565</v>
      </c>
    </row>
    <row r="22" spans="1:15" x14ac:dyDescent="0.4">
      <c r="A22" s="1" t="s">
        <v>37</v>
      </c>
      <c r="B22">
        <f>(B20/2)+B21</f>
        <v>64.65606994226998</v>
      </c>
      <c r="C22" s="7"/>
      <c r="D22">
        <f>(D20/2)+D21</f>
        <v>64.65606994226998</v>
      </c>
      <c r="G22" s="1" t="s">
        <v>44</v>
      </c>
      <c r="H22" s="6">
        <f>$C$26/H18</f>
        <v>0.53570369523354222</v>
      </c>
      <c r="I22" s="6">
        <f>$C$26/I18</f>
        <v>0.49552591809102658</v>
      </c>
      <c r="J22" s="6">
        <f>$C$26/J18</f>
        <v>0.46747728121794963</v>
      </c>
      <c r="K22" s="6">
        <f>$C$26/K18</f>
        <v>0.44046748274757919</v>
      </c>
      <c r="L22" s="6"/>
      <c r="M22" s="6">
        <f>$C$26/M18</f>
        <v>0.28315766748058663</v>
      </c>
      <c r="N22" s="6">
        <f>$C$26/N18</f>
        <v>0.23318866733695368</v>
      </c>
      <c r="O22" s="6">
        <f>$C$26/O18</f>
        <v>0.14157883374029331</v>
      </c>
    </row>
    <row r="23" spans="1:15" x14ac:dyDescent="0.4">
      <c r="A23" s="1" t="s">
        <v>17</v>
      </c>
      <c r="B23">
        <f>B18-(B20/2)-B21</f>
        <v>492.69393005773003</v>
      </c>
      <c r="C23" s="7"/>
      <c r="D23">
        <f>D18-(D20/2)-D21</f>
        <v>560.34393005772995</v>
      </c>
      <c r="G23" s="1" t="s">
        <v>45</v>
      </c>
      <c r="H23" s="6">
        <f>$B$14-H22</f>
        <v>3.1205463047664579</v>
      </c>
      <c r="I23" s="6">
        <f>$B$14-I22</f>
        <v>3.1607240819089735</v>
      </c>
      <c r="J23" s="6">
        <f t="shared" ref="J23:K23" si="2">$B$14-J22</f>
        <v>3.1887727187820505</v>
      </c>
      <c r="K23" s="6">
        <f t="shared" si="2"/>
        <v>3.2157825172524208</v>
      </c>
      <c r="L23" s="6"/>
      <c r="M23" s="6">
        <f>$B$14-M22</f>
        <v>3.3730923325194135</v>
      </c>
      <c r="N23" s="6">
        <f>$B$14-N22</f>
        <v>3.4230613326630461</v>
      </c>
      <c r="O23" s="6">
        <f>$B$14-O22</f>
        <v>3.5146711662597068</v>
      </c>
    </row>
    <row r="24" spans="1:15" x14ac:dyDescent="0.4">
      <c r="A24" s="1" t="s">
        <v>15</v>
      </c>
      <c r="B24">
        <v>54</v>
      </c>
      <c r="C24" s="7"/>
      <c r="D24">
        <v>54</v>
      </c>
      <c r="G24" s="1" t="s">
        <v>62</v>
      </c>
      <c r="H24" s="5">
        <f t="shared" ref="H24:O24" si="3">H23/$B$13</f>
        <v>0.64076926175902638</v>
      </c>
      <c r="I24" s="5">
        <f t="shared" si="3"/>
        <v>0.64901931866714047</v>
      </c>
      <c r="J24" s="5">
        <f t="shared" si="3"/>
        <v>0.65477879235771064</v>
      </c>
      <c r="K24" s="5">
        <f t="shared" si="3"/>
        <v>0.66032495220788934</v>
      </c>
      <c r="L24" s="5"/>
      <c r="M24" s="5">
        <f t="shared" si="3"/>
        <v>0.69262676232431497</v>
      </c>
      <c r="N24" s="5">
        <f t="shared" si="3"/>
        <v>0.70288733730247366</v>
      </c>
      <c r="O24" s="5">
        <f t="shared" si="3"/>
        <v>0.72169839142909797</v>
      </c>
    </row>
    <row r="25" spans="1:15" x14ac:dyDescent="0.4">
      <c r="A25" s="1" t="s">
        <v>16</v>
      </c>
      <c r="B25">
        <f>(B6/B7)*SIN(RADIANS(B24))</f>
        <v>0.68260808900386194</v>
      </c>
      <c r="C25">
        <f>B25</f>
        <v>0.68260808900386194</v>
      </c>
      <c r="D25">
        <f>(B6/B7)*SIN(RADIANS(D24))</f>
        <v>0.68260808900386194</v>
      </c>
    </row>
    <row r="26" spans="1:15" x14ac:dyDescent="0.4">
      <c r="A26" s="1" t="s">
        <v>19</v>
      </c>
      <c r="B26">
        <f>B23/B25</f>
        <v>721.78155810711837</v>
      </c>
      <c r="C26">
        <f>C18/C25</f>
        <v>99.105183618205317</v>
      </c>
      <c r="D26">
        <f>D23/D25</f>
        <v>820.88674172532365</v>
      </c>
      <c r="G26" s="1" t="s">
        <v>23</v>
      </c>
      <c r="H26" s="8">
        <f>H23*H18</f>
        <v>577.30106638179473</v>
      </c>
      <c r="I26" s="8">
        <f>I23*I18</f>
        <v>632.14481638179473</v>
      </c>
      <c r="J26" s="8">
        <f t="shared" ref="J26:K26" si="4">J23*J18</f>
        <v>676.01981638179473</v>
      </c>
      <c r="K26" s="8">
        <f t="shared" si="4"/>
        <v>723.55106638179473</v>
      </c>
      <c r="L26" s="8"/>
      <c r="M26" s="8">
        <f>M23*M18</f>
        <v>1180.5823163817947</v>
      </c>
      <c r="N26" s="8">
        <f>N23*N18</f>
        <v>1454.8010663817945</v>
      </c>
      <c r="O26" s="8">
        <f>O23*O18</f>
        <v>2460.269816381795</v>
      </c>
    </row>
    <row r="27" spans="1:15" x14ac:dyDescent="0.4">
      <c r="C27" s="7"/>
      <c r="G27" s="1" t="s">
        <v>28</v>
      </c>
      <c r="H27" s="7">
        <f>H26/$D$25</f>
        <v>845.72842848120513</v>
      </c>
      <c r="I27" s="7">
        <f>I26/$D$25</f>
        <v>926.07284701869139</v>
      </c>
      <c r="J27" s="7">
        <f t="shared" ref="J27:O27" si="5">J26/$D$25</f>
        <v>990.34838184868045</v>
      </c>
      <c r="K27" s="7">
        <f t="shared" si="5"/>
        <v>1059.9802112478353</v>
      </c>
      <c r="L27" s="7"/>
      <c r="M27" s="7">
        <f t="shared" si="5"/>
        <v>1729.5170323935547</v>
      </c>
      <c r="N27" s="7">
        <f t="shared" si="5"/>
        <v>2131.239125080986</v>
      </c>
      <c r="O27" s="7">
        <f t="shared" si="5"/>
        <v>3604.2201316015694</v>
      </c>
    </row>
    <row r="28" spans="1:15" x14ac:dyDescent="0.4">
      <c r="C28" s="7"/>
    </row>
  </sheetData>
  <conditionalFormatting sqref="M24:O24 H24:J24">
    <cfRule type="cellIs" dxfId="13" priority="5" operator="greaterThan">
      <formula>0.7</formula>
    </cfRule>
    <cfRule type="cellIs" dxfId="12" priority="6" operator="lessThan">
      <formula>0.6</formula>
    </cfRule>
  </conditionalFormatting>
  <conditionalFormatting sqref="K24">
    <cfRule type="cellIs" dxfId="9" priority="1" operator="greaterThan">
      <formula>0.7</formula>
    </cfRule>
    <cfRule type="cellIs" dxfId="8" priority="2" operator="lessThan">
      <formula>0.6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lessThan" id="{48B369A6-BF99-4F64-AE02-286AD6F407A8}">
            <xm:f>loads!$B$10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greaterThan" id="{7224F1DC-82B7-4067-9419-1661198FE84D}">
            <xm:f>loads!$B$10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M27:O27 H27:J27</xm:sqref>
        </x14:conditionalFormatting>
        <x14:conditionalFormatting xmlns:xm="http://schemas.microsoft.com/office/excel/2006/main">
          <x14:cfRule type="cellIs" priority="3" operator="lessThan" id="{23EE6979-9B25-4BC9-9FF9-E4906C99D6F8}">
            <xm:f>loads!$B$10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greaterThan" id="{0F615BEC-3F13-4E8F-96C7-F6230308EED8}">
            <xm:f>loads!$B$10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K27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BEA2-6532-4DF3-A8CC-8767F838F56F}">
  <dimension ref="A1:O28"/>
  <sheetViews>
    <sheetView tabSelected="1" topLeftCell="A4" workbookViewId="0">
      <selection activeCell="G17" sqref="G17"/>
    </sheetView>
  </sheetViews>
  <sheetFormatPr defaultRowHeight="14.6" x14ac:dyDescent="0.4"/>
  <cols>
    <col min="1" max="1" width="16.3828125" style="1" bestFit="1" customWidth="1"/>
    <col min="3" max="3" width="9.23046875" style="4"/>
    <col min="5" max="5" width="9.23046875" style="6"/>
    <col min="7" max="7" width="29.765625" bestFit="1" customWidth="1"/>
    <col min="8" max="9" width="11.4609375" bestFit="1" customWidth="1"/>
    <col min="10" max="11" width="11.53515625" bestFit="1" customWidth="1"/>
  </cols>
  <sheetData>
    <row r="1" spans="1:6" s="1" customFormat="1" x14ac:dyDescent="0.4">
      <c r="A1" s="1" t="s">
        <v>0</v>
      </c>
      <c r="C1" s="3"/>
      <c r="E1" s="11"/>
    </row>
    <row r="2" spans="1:6" x14ac:dyDescent="0.4">
      <c r="A2" s="1" t="s">
        <v>1</v>
      </c>
      <c r="B2">
        <v>6.25</v>
      </c>
    </row>
    <row r="3" spans="1:6" x14ac:dyDescent="0.4">
      <c r="A3" s="1" t="s">
        <v>2</v>
      </c>
      <c r="B3">
        <v>5</v>
      </c>
    </row>
    <row r="4" spans="1:6" x14ac:dyDescent="0.4">
      <c r="A4" s="1" t="s">
        <v>56</v>
      </c>
      <c r="B4">
        <f>B2-B3</f>
        <v>1.25</v>
      </c>
    </row>
    <row r="5" spans="1:6" x14ac:dyDescent="0.4">
      <c r="A5" s="1" t="s">
        <v>3</v>
      </c>
      <c r="B5">
        <v>17.5</v>
      </c>
    </row>
    <row r="6" spans="1:6" x14ac:dyDescent="0.4">
      <c r="A6" s="1" t="s">
        <v>4</v>
      </c>
      <c r="B6">
        <v>21.5</v>
      </c>
    </row>
    <row r="7" spans="1:6" x14ac:dyDescent="0.4">
      <c r="A7" s="1" t="s">
        <v>5</v>
      </c>
      <c r="B7">
        <v>21.5</v>
      </c>
    </row>
    <row r="8" spans="1:6" x14ac:dyDescent="0.4">
      <c r="A8" s="1" t="s">
        <v>6</v>
      </c>
      <c r="B8">
        <f>B6/B7</f>
        <v>1</v>
      </c>
    </row>
    <row r="9" spans="1:6" x14ac:dyDescent="0.4">
      <c r="A9" s="1" t="s">
        <v>24</v>
      </c>
      <c r="B9">
        <f>B4*B8</f>
        <v>1.25</v>
      </c>
    </row>
    <row r="10" spans="1:6" x14ac:dyDescent="0.4">
      <c r="A10" s="1" t="s">
        <v>7</v>
      </c>
      <c r="B10">
        <f>B5-B9</f>
        <v>16.25</v>
      </c>
    </row>
    <row r="11" spans="1:6" x14ac:dyDescent="0.4">
      <c r="A11" s="1" t="s">
        <v>10</v>
      </c>
      <c r="B11">
        <v>12</v>
      </c>
    </row>
    <row r="12" spans="1:6" x14ac:dyDescent="0.4">
      <c r="A12" s="1" t="s">
        <v>11</v>
      </c>
      <c r="B12">
        <v>17.87</v>
      </c>
    </row>
    <row r="13" spans="1:6" x14ac:dyDescent="0.4">
      <c r="A13" s="1" t="s">
        <v>12</v>
      </c>
      <c r="B13">
        <f>B12-B11</f>
        <v>5.870000000000001</v>
      </c>
      <c r="C13" s="9" t="s">
        <v>40</v>
      </c>
      <c r="D13" s="10"/>
      <c r="E13" s="12"/>
      <c r="F13" s="10"/>
    </row>
    <row r="14" spans="1:6" x14ac:dyDescent="0.4">
      <c r="A14" s="1" t="s">
        <v>13</v>
      </c>
      <c r="B14">
        <f>B10-B11</f>
        <v>4.25</v>
      </c>
      <c r="C14" s="4">
        <f>B14/B13</f>
        <v>0.72402044293015322</v>
      </c>
      <c r="D14" s="4"/>
      <c r="F14" s="4"/>
    </row>
    <row r="15" spans="1:6" x14ac:dyDescent="0.4">
      <c r="A15" s="1" t="s">
        <v>14</v>
      </c>
      <c r="B15">
        <f>B12-B10</f>
        <v>1.620000000000001</v>
      </c>
      <c r="C15" s="4">
        <f>B15/B13</f>
        <v>0.27597955706984678</v>
      </c>
      <c r="D15" s="4"/>
      <c r="F15" s="4"/>
    </row>
    <row r="17" spans="1:15" x14ac:dyDescent="0.4">
      <c r="A17" s="1" t="s">
        <v>8</v>
      </c>
      <c r="C17" s="3" t="s">
        <v>41</v>
      </c>
      <c r="G17" s="1"/>
      <c r="H17" s="2" t="s">
        <v>26</v>
      </c>
      <c r="I17" s="2" t="s">
        <v>27</v>
      </c>
      <c r="J17" s="2" t="s">
        <v>57</v>
      </c>
      <c r="K17" s="2" t="s">
        <v>58</v>
      </c>
      <c r="M17" t="s">
        <v>32</v>
      </c>
      <c r="N17" t="s">
        <v>33</v>
      </c>
      <c r="O17" t="s">
        <v>34</v>
      </c>
    </row>
    <row r="18" spans="1:15" x14ac:dyDescent="0.4">
      <c r="A18" s="1" t="s">
        <v>9</v>
      </c>
      <c r="B18">
        <v>612.65</v>
      </c>
      <c r="C18" s="7">
        <f>D18-B18</f>
        <v>87.350000000000023</v>
      </c>
      <c r="D18">
        <v>700</v>
      </c>
      <c r="G18" s="1" t="s">
        <v>22</v>
      </c>
      <c r="H18">
        <v>175</v>
      </c>
      <c r="I18">
        <v>185</v>
      </c>
      <c r="J18">
        <v>200</v>
      </c>
      <c r="K18">
        <v>212</v>
      </c>
      <c r="M18">
        <v>350</v>
      </c>
      <c r="N18">
        <v>425</v>
      </c>
      <c r="O18">
        <v>700</v>
      </c>
    </row>
    <row r="19" spans="1:15" x14ac:dyDescent="0.4">
      <c r="A19" s="1" t="s">
        <v>46</v>
      </c>
      <c r="B19">
        <f>B18+left!B18+right!B18</f>
        <v>1741.5</v>
      </c>
      <c r="D19">
        <f>D18+left!D18+right!D18</f>
        <v>1950</v>
      </c>
      <c r="G19" s="1" t="s">
        <v>25</v>
      </c>
      <c r="H19" s="6">
        <f t="shared" ref="H19:K19" si="0">$B$26/H18</f>
        <v>4.0465074411652644</v>
      </c>
      <c r="I19" s="6">
        <f t="shared" si="0"/>
        <v>3.8277773092103851</v>
      </c>
      <c r="J19" s="6">
        <f t="shared" si="0"/>
        <v>3.5406940110196063</v>
      </c>
      <c r="K19" s="6">
        <f t="shared" si="0"/>
        <v>3.3402773688864209</v>
      </c>
      <c r="M19" s="6">
        <f>3.57+(($B$25-625)/M18)</f>
        <v>1.7863060193748186</v>
      </c>
      <c r="N19" s="6">
        <f>3.125+(($B$25-625)/N18)</f>
        <v>1.6560755453674978</v>
      </c>
      <c r="O19" s="6">
        <f>2.72+(($B$25-625)/O18)</f>
        <v>1.8281530096874095</v>
      </c>
    </row>
    <row r="20" spans="1:15" x14ac:dyDescent="0.4">
      <c r="A20" s="1" t="s">
        <v>35</v>
      </c>
      <c r="B20">
        <f>CONVERT((3055/16*18.5),"g","lbm")</f>
        <v>7.7874849393961361</v>
      </c>
      <c r="C20" s="7"/>
      <c r="D20">
        <f>CONVERT((3055/16*18.5),"g","lbm")</f>
        <v>7.7874849393961361</v>
      </c>
      <c r="G20" s="1" t="s">
        <v>42</v>
      </c>
      <c r="H20" s="6">
        <f>$B$12-H19</f>
        <v>13.823492558834737</v>
      </c>
      <c r="I20" s="6">
        <f>$B$12-I19</f>
        <v>14.042222690789616</v>
      </c>
      <c r="J20" s="6">
        <f>$B$12-J19</f>
        <v>14.329305988980394</v>
      </c>
      <c r="K20" s="6">
        <f>$B$12-K19</f>
        <v>14.529722631113581</v>
      </c>
      <c r="M20" s="6">
        <f t="shared" ref="M20:O20" si="1">$B$12-M19</f>
        <v>16.083693980625181</v>
      </c>
      <c r="N20" s="6">
        <f t="shared" si="1"/>
        <v>16.213924454632505</v>
      </c>
      <c r="O20" s="6">
        <f t="shared" si="1"/>
        <v>16.041846990312592</v>
      </c>
    </row>
    <row r="21" spans="1:15" x14ac:dyDescent="0.4">
      <c r="A21" s="1" t="s">
        <v>36</v>
      </c>
      <c r="B21">
        <f>CONVERT(49,"kg","lbm")</f>
        <v>108.02650847059</v>
      </c>
      <c r="C21" s="7"/>
      <c r="D21">
        <f>CONVERT(49,"kg","lbm")</f>
        <v>108.02650847059</v>
      </c>
      <c r="G21" s="1" t="s">
        <v>43</v>
      </c>
      <c r="H21" s="6">
        <f>$B$10-H20</f>
        <v>2.4265074411652634</v>
      </c>
      <c r="I21" s="6">
        <f>$B$10-I20</f>
        <v>2.2077773092103836</v>
      </c>
      <c r="J21" s="6">
        <f>$B$10-J20</f>
        <v>1.9206940110196058</v>
      </c>
      <c r="K21" s="6">
        <f>$B$10-K20</f>
        <v>1.7202773688864195</v>
      </c>
      <c r="M21" s="6">
        <f>$B$10-M20</f>
        <v>0.1663060193748187</v>
      </c>
      <c r="N21" s="6">
        <f t="shared" ref="N21:O21" si="2">$B$10-N20</f>
        <v>3.6075545367495465E-2</v>
      </c>
      <c r="O21" s="6">
        <f t="shared" si="2"/>
        <v>0.20815300968740758</v>
      </c>
    </row>
    <row r="22" spans="1:15" x14ac:dyDescent="0.4">
      <c r="A22" s="1" t="s">
        <v>18</v>
      </c>
      <c r="B22">
        <f>(B20/2)+B21</f>
        <v>111.92025094028807</v>
      </c>
      <c r="C22" s="7"/>
      <c r="D22">
        <f>(D20/2)+D21</f>
        <v>111.92025094028807</v>
      </c>
      <c r="G22" s="1" t="s">
        <v>44</v>
      </c>
      <c r="H22" s="6">
        <f>$C$26/H18</f>
        <v>0.70589459813308508</v>
      </c>
      <c r="I22" s="6">
        <f>$C$26/I18</f>
        <v>0.66773813336913457</v>
      </c>
      <c r="J22" s="6">
        <f>$C$26/J18</f>
        <v>0.61765777336644945</v>
      </c>
      <c r="K22" s="6">
        <f>$C$26/K18</f>
        <v>0.58269601260985793</v>
      </c>
      <c r="L22" s="6"/>
      <c r="M22" s="6">
        <f>$C$26/M18</f>
        <v>0.35294729906654254</v>
      </c>
      <c r="N22" s="6">
        <f>$C$26/N18</f>
        <v>0.29066248158421149</v>
      </c>
      <c r="O22" s="6">
        <f>$C$26/O18</f>
        <v>0.17647364953327127</v>
      </c>
    </row>
    <row r="23" spans="1:15" x14ac:dyDescent="0.4">
      <c r="A23" s="1" t="s">
        <v>17</v>
      </c>
      <c r="B23">
        <f>B18-(B20/2)-B21</f>
        <v>500.72974905971193</v>
      </c>
      <c r="C23" s="7"/>
      <c r="D23">
        <f>D18-(D20/2)-D21</f>
        <v>588.07974905971196</v>
      </c>
      <c r="G23" s="1" t="s">
        <v>45</v>
      </c>
      <c r="H23" s="6">
        <f>$B$14-H22</f>
        <v>3.5441054018669149</v>
      </c>
      <c r="I23" s="6">
        <f>$B$14-I22</f>
        <v>3.5822618666308657</v>
      </c>
      <c r="J23" s="6">
        <f>$B$14-J22</f>
        <v>3.6323422266335506</v>
      </c>
      <c r="K23" s="6">
        <f>$B$14-K22</f>
        <v>3.6673039873901421</v>
      </c>
      <c r="L23" s="6"/>
      <c r="M23" s="6">
        <f>$B$14-M22</f>
        <v>3.8970527009334575</v>
      </c>
      <c r="N23" s="6">
        <f>$B$14-N22</f>
        <v>3.9593375184157886</v>
      </c>
      <c r="O23" s="6">
        <f>$B$14-O22</f>
        <v>4.0735263504667287</v>
      </c>
    </row>
    <row r="24" spans="1:15" x14ac:dyDescent="0.4">
      <c r="A24" s="1" t="s">
        <v>15</v>
      </c>
      <c r="B24">
        <v>45</v>
      </c>
      <c r="C24" s="7"/>
      <c r="D24">
        <v>45</v>
      </c>
      <c r="G24" s="1" t="s">
        <v>62</v>
      </c>
      <c r="H24" s="5">
        <f t="shared" ref="H24:O24" si="3">H23/$B$13</f>
        <v>0.60376582655313704</v>
      </c>
      <c r="I24" s="5">
        <f t="shared" si="3"/>
        <v>0.61026607608702987</v>
      </c>
      <c r="J24" s="5">
        <f t="shared" si="3"/>
        <v>0.61879765360026406</v>
      </c>
      <c r="K24" s="5">
        <f t="shared" si="3"/>
        <v>0.62475366054346537</v>
      </c>
      <c r="L24" s="5"/>
      <c r="M24" s="5">
        <f t="shared" si="3"/>
        <v>0.66389313474164513</v>
      </c>
      <c r="N24" s="5">
        <f t="shared" si="3"/>
        <v>0.67450383618667598</v>
      </c>
      <c r="O24" s="5">
        <f t="shared" si="3"/>
        <v>0.69395678883589917</v>
      </c>
    </row>
    <row r="25" spans="1:15" x14ac:dyDescent="0.4">
      <c r="A25" s="1" t="s">
        <v>16</v>
      </c>
      <c r="B25">
        <f>(B6/B7)*SIN(RADIANS(B24))</f>
        <v>0.70710678118654746</v>
      </c>
      <c r="C25">
        <f>B25</f>
        <v>0.70710678118654746</v>
      </c>
      <c r="D25">
        <f>(B6/B7)*SIN(RADIANS(D24))</f>
        <v>0.70710678118654746</v>
      </c>
    </row>
    <row r="26" spans="1:15" x14ac:dyDescent="0.4">
      <c r="A26" s="1" t="s">
        <v>19</v>
      </c>
      <c r="B26">
        <f>B23/B25</f>
        <v>708.13880220392127</v>
      </c>
      <c r="C26">
        <f>C18/C25</f>
        <v>123.53155467328989</v>
      </c>
      <c r="D26">
        <f>D23/D25</f>
        <v>831.67035687721113</v>
      </c>
      <c r="G26" s="1" t="s">
        <v>23</v>
      </c>
      <c r="H26" s="8">
        <f>H23*H18</f>
        <v>620.21844532671014</v>
      </c>
      <c r="I26" s="8">
        <f>I23*I18</f>
        <v>662.71844532671014</v>
      </c>
      <c r="J26" s="8">
        <f>J23*J18</f>
        <v>726.46844532671014</v>
      </c>
      <c r="K26" s="8">
        <f>K23*K18</f>
        <v>777.46844532671014</v>
      </c>
      <c r="L26" s="8"/>
      <c r="M26" s="8">
        <f>M23*M18</f>
        <v>1363.96844532671</v>
      </c>
      <c r="N26" s="8">
        <f>N23*N18</f>
        <v>1682.7184453267103</v>
      </c>
      <c r="O26" s="8">
        <f>O23*O18</f>
        <v>2851.46844532671</v>
      </c>
    </row>
    <row r="27" spans="1:15" x14ac:dyDescent="0.4">
      <c r="C27" s="7"/>
      <c r="G27" s="1" t="s">
        <v>28</v>
      </c>
      <c r="H27" s="7">
        <f t="shared" ref="H27:O27" si="4">H26/$D$25</f>
        <v>877.12133701498954</v>
      </c>
      <c r="I27" s="7">
        <f t="shared" si="4"/>
        <v>937.22541341584611</v>
      </c>
      <c r="J27" s="7">
        <f t="shared" si="4"/>
        <v>1027.3815280171309</v>
      </c>
      <c r="K27" s="7">
        <f t="shared" si="4"/>
        <v>1099.5064196981587</v>
      </c>
      <c r="L27" s="7"/>
      <c r="M27" s="7">
        <f t="shared" si="4"/>
        <v>1928.9426740299789</v>
      </c>
      <c r="N27" s="7">
        <f t="shared" si="4"/>
        <v>2379.7232470364033</v>
      </c>
      <c r="O27" s="7">
        <f t="shared" si="4"/>
        <v>4032.5853480599581</v>
      </c>
    </row>
    <row r="28" spans="1:15" x14ac:dyDescent="0.4">
      <c r="C28" s="7"/>
    </row>
  </sheetData>
  <conditionalFormatting sqref="M24:O24 I24:K24">
    <cfRule type="cellIs" dxfId="5" priority="5" operator="lessThan">
      <formula>0.6</formula>
    </cfRule>
    <cfRule type="cellIs" dxfId="4" priority="6" operator="greaterThan">
      <formula>0.7</formula>
    </cfRule>
  </conditionalFormatting>
  <conditionalFormatting sqref="H24">
    <cfRule type="cellIs" dxfId="1" priority="1" operator="lessThan">
      <formula>0.6</formula>
    </cfRule>
    <cfRule type="cellIs" dxfId="0" priority="2" operator="greaterThan">
      <formula>0.7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lessThan" id="{60F60422-C313-4EDF-822C-319E33C464EB}">
            <xm:f>loads!$B$16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greaterThan" id="{3C138B77-CDBF-4932-9DEF-10F8BB022F21}">
            <xm:f>loads!$B$16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M27:O27 I27:K27</xm:sqref>
        </x14:conditionalFormatting>
        <x14:conditionalFormatting xmlns:xm="http://schemas.microsoft.com/office/excel/2006/main">
          <x14:cfRule type="cellIs" priority="3" operator="lessThan" id="{2CF1A0A0-EA85-487D-A7BF-47110548DCDE}">
            <xm:f>loads!$B$16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greaterThan" id="{E932DB27-51BF-4974-AF95-9868E1852C77}">
            <xm:f>loads!$B$16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H27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loads</vt:lpstr>
      <vt:lpstr>left</vt:lpstr>
      <vt:lpstr>right</vt:lpstr>
      <vt:lpstr>rear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2020-05-20T05:30:28Z</dcterms:modified>
</cp:coreProperties>
</file>